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defaultThemeVersion="124226"/>
  <xr:revisionPtr revIDLastSave="0" documentId="13_ncr:1_{823F5C52-DD5C-41F3-B836-6DAFAE4F5A71}" xr6:coauthVersionLast="47" xr6:coauthVersionMax="47" xr10:uidLastSave="{00000000-0000-0000-0000-000000000000}"/>
  <bookViews>
    <workbookView xWindow="-110" yWindow="-110" windowWidth="21820" windowHeight="14020" tabRatio="945" activeTab="3" xr2:uid="{00000000-000D-0000-FFFF-FFFF00000000}"/>
  </bookViews>
  <sheets>
    <sheet name="Note for users" sheetId="82" r:id="rId1"/>
    <sheet name="1.Project Cost and MOF" sheetId="62" r:id="rId2"/>
    <sheet name="2.Capex Details" sheetId="57" r:id="rId3"/>
    <sheet name="3.Other Exp &amp; Taxes" sheetId="22" r:id="rId4"/>
    <sheet name="10.Grain Production details" sheetId="81" r:id="rId5"/>
    <sheet name="16.Facility 5 Agri Input" sheetId="53" r:id="rId6"/>
    <sheet name="9. Financial indiacators" sheetId="29" r:id="rId7"/>
    <sheet name="15. Facility 4 Custom Hiring" sheetId="48" r:id="rId8"/>
    <sheet name="5.Closing Stock &amp; W Capital" sheetId="61" r:id="rId9"/>
    <sheet name="6.Cons Profit &amp; Loss" sheetId="21" r:id="rId10"/>
    <sheet name="7.Balance Sheet" sheetId="69" r:id="rId11"/>
    <sheet name="8.Cash Flow " sheetId="68" r:id="rId12"/>
    <sheet name="4.TL repayment sch" sheetId="23" r:id="rId13"/>
    <sheet name="14. Facility 3 Warehouse" sheetId="42" r:id="rId14"/>
    <sheet name="11.F&amp;V Crop Production details" sheetId="83" r:id="rId15"/>
    <sheet name="12.Facility 1 - Trading" sheetId="55" r:id="rId16"/>
    <sheet name="13.Facility 2 Grain Processing" sheetId="72"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4">'10.Grain Production details'!$A$1:$Z$114</definedName>
    <definedName name="_xlnm.Print_Area" localSheetId="14">'11.F&amp;V Crop Production details'!$A$1:$Z$127</definedName>
    <definedName name="_xlnm.Print_Area" localSheetId="15">'12.Facility 1 - Trading'!$A$1:$J$308</definedName>
    <definedName name="_xlnm.Print_Area" localSheetId="16">'13.Facility 2 Grain Processing'!$A$3:$J$184</definedName>
    <definedName name="_xlnm.Print_Area" localSheetId="13">'14. Facility 3 Warehouse'!$A$1:$K$51</definedName>
    <definedName name="_xlnm.Print_Area" localSheetId="7">'15. Facility 4 Custom Hiring'!$A$1:$U$62</definedName>
    <definedName name="_xlnm.Print_Area" localSheetId="5">'16.Facility 5 Agri Input'!$A$1:$J$280</definedName>
    <definedName name="_xlnm.Print_Area" localSheetId="17">'17.Facility 6 Horti Processing '!$A$1:$J$192</definedName>
    <definedName name="_xlnm.Print_Area" localSheetId="2">'2.Capex Details'!$A$1:$H$118</definedName>
    <definedName name="_xlnm.Print_Area" localSheetId="3">'3.Other Exp &amp; Taxes'!$A$1:$R$105</definedName>
    <definedName name="_xlnm.Print_Area" localSheetId="12">'4.TL repayment sch'!$A$1:$H$95</definedName>
    <definedName name="_xlnm.Print_Area" localSheetId="8">'5.Closing Stock &amp; W Capital'!$A$1:$L$59</definedName>
    <definedName name="_xlnm.Print_Area" localSheetId="9">'6.Cons Profit &amp; Loss'!$A$1:$I$56</definedName>
    <definedName name="_xlnm.Print_Area" localSheetId="10">'7.Balance Sheet'!$A$1:$I$50</definedName>
    <definedName name="_xlnm.Print_Area" localSheetId="11">'8.Cash Flow '!$A$1:$J$35</definedName>
    <definedName name="_xlnm.Print_Area" localSheetId="6">'9. Financial indiacators'!$B$1:$M$186</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43" i="29" l="1"/>
  <c r="K47" i="29" s="1"/>
  <c r="F8" i="48"/>
  <c r="H8" i="48" s="1"/>
  <c r="C28" i="48" s="1"/>
  <c r="D29" i="42"/>
  <c r="D28" i="48"/>
  <c r="D30" i="48"/>
  <c r="D31" i="48"/>
  <c r="D32" i="48"/>
  <c r="D29" i="48"/>
  <c r="G6" i="57"/>
  <c r="G7" i="57"/>
  <c r="G8" i="57"/>
  <c r="G23" i="57"/>
  <c r="G24" i="57"/>
  <c r="G25" i="57"/>
  <c r="G27" i="57"/>
  <c r="D115" i="57"/>
  <c r="D10" i="62" s="1"/>
  <c r="P10" i="42"/>
  <c r="G22" i="57"/>
  <c r="B7" i="81"/>
  <c r="B9" i="81" s="1"/>
  <c r="D22" i="81" s="1"/>
  <c r="B7" i="83"/>
  <c r="B9" i="83" s="1"/>
  <c r="B113" i="81"/>
  <c r="C30" i="53" s="1"/>
  <c r="C83" i="53" s="1"/>
  <c r="D151" i="53" s="1"/>
  <c r="C31" i="53"/>
  <c r="C84" i="53" s="1"/>
  <c r="C182" i="53"/>
  <c r="D152" i="53"/>
  <c r="B63" i="55"/>
  <c r="B32" i="55"/>
  <c r="B89" i="55" s="1"/>
  <c r="B141" i="55" s="1"/>
  <c r="D199" i="55" s="1"/>
  <c r="B162" i="55"/>
  <c r="D221" i="55" s="1"/>
  <c r="B163" i="55"/>
  <c r="D222" i="55"/>
  <c r="B164" i="55"/>
  <c r="D223" i="55"/>
  <c r="B34" i="72"/>
  <c r="C139" i="72"/>
  <c r="C140" i="72"/>
  <c r="C141" i="72"/>
  <c r="C142" i="72"/>
  <c r="B41" i="84"/>
  <c r="F9" i="48"/>
  <c r="H9" i="48" s="1"/>
  <c r="F10" i="48"/>
  <c r="H10" i="48" s="1"/>
  <c r="F11" i="48"/>
  <c r="H11" i="48" s="1"/>
  <c r="C31" i="48" s="1"/>
  <c r="E31" i="48" s="1"/>
  <c r="F12" i="48"/>
  <c r="H12" i="48" s="1"/>
  <c r="C32" i="48" s="1"/>
  <c r="C33" i="48"/>
  <c r="D33" i="48"/>
  <c r="E33" i="48"/>
  <c r="C34" i="48"/>
  <c r="D34" i="48"/>
  <c r="E34" i="48"/>
  <c r="C35" i="48"/>
  <c r="E35" i="48" s="1"/>
  <c r="D35" i="48"/>
  <c r="C36" i="48"/>
  <c r="D36" i="48"/>
  <c r="C37" i="48"/>
  <c r="D37" i="48"/>
  <c r="E37" i="48"/>
  <c r="C38" i="48"/>
  <c r="D38" i="48"/>
  <c r="E38" i="48"/>
  <c r="B10" i="42"/>
  <c r="D21" i="42" s="1"/>
  <c r="D23" i="42" s="1"/>
  <c r="E38" i="61" s="1"/>
  <c r="D218" i="53"/>
  <c r="D219" i="53"/>
  <c r="D205" i="53"/>
  <c r="D214" i="53"/>
  <c r="D243" i="53"/>
  <c r="B5" i="55"/>
  <c r="H55" i="57"/>
  <c r="B283" i="55"/>
  <c r="D254" i="55"/>
  <c r="D255" i="55"/>
  <c r="D279" i="55"/>
  <c r="D280" i="55"/>
  <c r="H47" i="57"/>
  <c r="B158" i="72" s="1"/>
  <c r="H61" i="57"/>
  <c r="B166" i="84"/>
  <c r="J13" i="48"/>
  <c r="J14" i="48"/>
  <c r="J15" i="48"/>
  <c r="J16" i="48"/>
  <c r="J17" i="48"/>
  <c r="M8" i="48"/>
  <c r="M9" i="48"/>
  <c r="M10" i="48"/>
  <c r="M11" i="48"/>
  <c r="M12" i="48"/>
  <c r="M13" i="48"/>
  <c r="M14" i="48"/>
  <c r="M15" i="48"/>
  <c r="M16" i="48"/>
  <c r="M17" i="48"/>
  <c r="D27" i="42"/>
  <c r="D34" i="42" s="1"/>
  <c r="E51" i="61" s="1"/>
  <c r="D28" i="42"/>
  <c r="G9" i="57"/>
  <c r="G10" i="57"/>
  <c r="G11" i="57"/>
  <c r="G49" i="57"/>
  <c r="G50" i="57"/>
  <c r="G55" i="57" s="1"/>
  <c r="G51" i="57"/>
  <c r="G52" i="57"/>
  <c r="G53" i="57"/>
  <c r="G54" i="57"/>
  <c r="G34" i="57"/>
  <c r="G35" i="57"/>
  <c r="G36" i="57"/>
  <c r="G37" i="57"/>
  <c r="G38" i="57"/>
  <c r="G39" i="57"/>
  <c r="G40" i="57"/>
  <c r="G41" i="57"/>
  <c r="G42" i="57"/>
  <c r="G43" i="57"/>
  <c r="G44" i="57"/>
  <c r="G45" i="57"/>
  <c r="G46" i="57"/>
  <c r="G21" i="57"/>
  <c r="G26" i="57"/>
  <c r="G29" i="57"/>
  <c r="G30" i="57"/>
  <c r="G31" i="57"/>
  <c r="G57" i="57"/>
  <c r="G58" i="57"/>
  <c r="G59" i="57"/>
  <c r="G60" i="57"/>
  <c r="G61" i="57"/>
  <c r="F72" i="57"/>
  <c r="F74" i="57"/>
  <c r="F75" i="57"/>
  <c r="F76" i="57"/>
  <c r="F77" i="57"/>
  <c r="F86" i="57"/>
  <c r="F87" i="57"/>
  <c r="F88" i="57"/>
  <c r="F89" i="57"/>
  <c r="F90" i="57"/>
  <c r="F91" i="57"/>
  <c r="F92" i="57"/>
  <c r="D8" i="62" s="1"/>
  <c r="F8" i="62" s="1"/>
  <c r="F100" i="57"/>
  <c r="F103" i="57" s="1"/>
  <c r="D9" i="62" s="1"/>
  <c r="F101" i="57"/>
  <c r="F102" i="57"/>
  <c r="F4" i="22"/>
  <c r="E22" i="22"/>
  <c r="E21" i="22"/>
  <c r="E20" i="22"/>
  <c r="F19" i="22"/>
  <c r="E19" i="22"/>
  <c r="E18" i="22"/>
  <c r="F17" i="22"/>
  <c r="E17" i="22"/>
  <c r="E16" i="22"/>
  <c r="F9" i="62"/>
  <c r="F10" i="62"/>
  <c r="B9" i="68"/>
  <c r="C61" i="22"/>
  <c r="C62" i="22" s="1"/>
  <c r="C55" i="22"/>
  <c r="C56" i="22" s="1"/>
  <c r="B20" i="21"/>
  <c r="E8" i="22"/>
  <c r="E9" i="22"/>
  <c r="E10" i="22"/>
  <c r="E11" i="22"/>
  <c r="E12" i="22"/>
  <c r="E13" i="22"/>
  <c r="E14" i="22"/>
  <c r="E15" i="22"/>
  <c r="D294" i="55"/>
  <c r="D301" i="55"/>
  <c r="B28" i="21" s="1"/>
  <c r="D172" i="72"/>
  <c r="D177" i="72" s="1"/>
  <c r="B29" i="21"/>
  <c r="D37" i="42"/>
  <c r="D43" i="42"/>
  <c r="B30" i="21" s="1"/>
  <c r="E52" i="48"/>
  <c r="E56" i="48" s="1"/>
  <c r="B31" i="21"/>
  <c r="D180" i="84"/>
  <c r="D185" i="84" s="1"/>
  <c r="B33" i="21" s="1"/>
  <c r="D181" i="84"/>
  <c r="D265" i="53"/>
  <c r="D266" i="53"/>
  <c r="D267" i="53"/>
  <c r="D268" i="53"/>
  <c r="C86" i="22"/>
  <c r="B43" i="21"/>
  <c r="C10" i="62"/>
  <c r="C9" i="62"/>
  <c r="C8" i="62"/>
  <c r="C7" i="62"/>
  <c r="C6" i="62"/>
  <c r="C5" i="62"/>
  <c r="H63" i="55"/>
  <c r="E172" i="55"/>
  <c r="F172" i="55" s="1"/>
  <c r="G172" i="55" s="1"/>
  <c r="H172" i="55" s="1"/>
  <c r="I172" i="55" s="1"/>
  <c r="H32" i="55"/>
  <c r="H89" i="55"/>
  <c r="C44" i="83"/>
  <c r="D44" i="83"/>
  <c r="E44" i="83" s="1"/>
  <c r="F44" i="83" s="1"/>
  <c r="G44" i="83" s="1"/>
  <c r="H44" i="83" s="1"/>
  <c r="H141" i="55"/>
  <c r="G63" i="55"/>
  <c r="G32" i="55"/>
  <c r="G89" i="55" s="1"/>
  <c r="I255" i="55"/>
  <c r="I280" i="55"/>
  <c r="F63" i="55"/>
  <c r="F32" i="55"/>
  <c r="F89" i="55"/>
  <c r="H254" i="55"/>
  <c r="H255" i="55"/>
  <c r="H279" i="55"/>
  <c r="H280" i="55"/>
  <c r="F141" i="55"/>
  <c r="E63" i="55"/>
  <c r="E32" i="55"/>
  <c r="E89" i="55"/>
  <c r="G254" i="55"/>
  <c r="G255" i="55"/>
  <c r="G279" i="55"/>
  <c r="G280" i="55"/>
  <c r="E141" i="55"/>
  <c r="D63" i="55"/>
  <c r="D32" i="55"/>
  <c r="D89" i="55"/>
  <c r="F254" i="55"/>
  <c r="F255" i="55"/>
  <c r="F279" i="55"/>
  <c r="F280" i="55"/>
  <c r="D141" i="55"/>
  <c r="C63" i="55"/>
  <c r="C32" i="55"/>
  <c r="C89" i="55" s="1"/>
  <c r="E255" i="55"/>
  <c r="E279" i="55"/>
  <c r="E280" i="55"/>
  <c r="C72" i="83"/>
  <c r="D72" i="83" s="1"/>
  <c r="E72" i="83" s="1"/>
  <c r="F72" i="83" s="1"/>
  <c r="G72" i="83" s="1"/>
  <c r="H72" i="83" s="1"/>
  <c r="E149" i="84"/>
  <c r="F149" i="84"/>
  <c r="G149" i="84"/>
  <c r="K12" i="83"/>
  <c r="L12" i="83"/>
  <c r="M12" i="83"/>
  <c r="N12" i="83" s="1"/>
  <c r="H31" i="84"/>
  <c r="H32" i="84"/>
  <c r="H33" i="84"/>
  <c r="C74" i="83"/>
  <c r="C13" i="84" s="1"/>
  <c r="C33" i="72"/>
  <c r="D33" i="72"/>
  <c r="E33" i="72" s="1"/>
  <c r="E133" i="72"/>
  <c r="F133" i="72"/>
  <c r="G133" i="72"/>
  <c r="H133" i="72" s="1"/>
  <c r="I133" i="72" s="1"/>
  <c r="J133" i="72" s="1"/>
  <c r="D34" i="72"/>
  <c r="C34" i="72"/>
  <c r="F15" i="22"/>
  <c r="F14" i="22"/>
  <c r="F13" i="22"/>
  <c r="F12" i="22"/>
  <c r="F11" i="22"/>
  <c r="F10" i="22"/>
  <c r="F8" i="22"/>
  <c r="F9" i="22"/>
  <c r="C90" i="81"/>
  <c r="D90" i="81" s="1"/>
  <c r="E90" i="81" s="1"/>
  <c r="F90" i="81" s="1"/>
  <c r="G90" i="81" s="1"/>
  <c r="H90" i="81" s="1"/>
  <c r="E124" i="53"/>
  <c r="F124" i="53" s="1"/>
  <c r="G124" i="53" s="1"/>
  <c r="H124" i="53" s="1"/>
  <c r="H243" i="53" s="1"/>
  <c r="I31" i="53"/>
  <c r="I84" i="53"/>
  <c r="C100" i="83"/>
  <c r="D100" i="83"/>
  <c r="E100" i="83" s="1"/>
  <c r="F100" i="83" s="1"/>
  <c r="G100" i="83" s="1"/>
  <c r="H100" i="83" s="1"/>
  <c r="H31" i="53"/>
  <c r="H84" i="53" s="1"/>
  <c r="G31" i="53"/>
  <c r="G84" i="53"/>
  <c r="H219" i="53"/>
  <c r="H205" i="53"/>
  <c r="H214" i="53"/>
  <c r="F31" i="53"/>
  <c r="F84" i="53"/>
  <c r="G205" i="53"/>
  <c r="E31" i="53"/>
  <c r="E84" i="53" s="1"/>
  <c r="F219" i="53" s="1"/>
  <c r="F243" i="53"/>
  <c r="D31" i="53"/>
  <c r="D84" i="53"/>
  <c r="E219" i="53"/>
  <c r="E214" i="53"/>
  <c r="E243" i="53"/>
  <c r="F23" i="48"/>
  <c r="G23" i="48"/>
  <c r="H23" i="48"/>
  <c r="I23" i="48" s="1"/>
  <c r="E17" i="42"/>
  <c r="E29" i="42"/>
  <c r="C162" i="55"/>
  <c r="E221" i="55" s="1"/>
  <c r="C163" i="55"/>
  <c r="E222" i="55" s="1"/>
  <c r="C164" i="55"/>
  <c r="E223" i="55" s="1"/>
  <c r="F31" i="48"/>
  <c r="F33" i="48"/>
  <c r="F34" i="48"/>
  <c r="F35" i="48"/>
  <c r="F36" i="48"/>
  <c r="F37" i="48"/>
  <c r="F38" i="48"/>
  <c r="E152" i="53"/>
  <c r="C10" i="42"/>
  <c r="E21" i="42" s="1"/>
  <c r="E23" i="42" s="1"/>
  <c r="D162" i="55"/>
  <c r="F221" i="55"/>
  <c r="D163" i="55"/>
  <c r="F222" i="55" s="1"/>
  <c r="D164" i="55"/>
  <c r="F223" i="55"/>
  <c r="G31" i="48"/>
  <c r="G33" i="48"/>
  <c r="G34" i="48"/>
  <c r="G35" i="48"/>
  <c r="G36" i="48"/>
  <c r="G37" i="48"/>
  <c r="G38" i="48"/>
  <c r="F152" i="53"/>
  <c r="D10" i="42"/>
  <c r="G199" i="55"/>
  <c r="E162" i="55"/>
  <c r="G221" i="55" s="1"/>
  <c r="E163" i="55"/>
  <c r="G222" i="55" s="1"/>
  <c r="E164" i="55"/>
  <c r="G223" i="55" s="1"/>
  <c r="H31" i="48"/>
  <c r="H33" i="48"/>
  <c r="H34" i="48"/>
  <c r="H35" i="48"/>
  <c r="H36" i="48"/>
  <c r="H37" i="48"/>
  <c r="H38" i="48"/>
  <c r="E10" i="42"/>
  <c r="H199" i="55"/>
  <c r="F162" i="55"/>
  <c r="H221" i="55" s="1"/>
  <c r="F163" i="55"/>
  <c r="H222" i="55"/>
  <c r="F164" i="55"/>
  <c r="H223" i="55" s="1"/>
  <c r="I31" i="48"/>
  <c r="I33" i="48"/>
  <c r="I34" i="48"/>
  <c r="I35" i="48"/>
  <c r="I36" i="48"/>
  <c r="I37" i="48"/>
  <c r="I38" i="48"/>
  <c r="F10" i="42"/>
  <c r="G162" i="55"/>
  <c r="I221" i="55" s="1"/>
  <c r="G163" i="55"/>
  <c r="I222" i="55" s="1"/>
  <c r="G164" i="55"/>
  <c r="I223" i="55" s="1"/>
  <c r="G10" i="42"/>
  <c r="H162" i="55"/>
  <c r="H163" i="55"/>
  <c r="H164" i="55"/>
  <c r="H10" i="42"/>
  <c r="A42" i="81"/>
  <c r="A67" i="81" s="1"/>
  <c r="A67" i="83"/>
  <c r="A95" i="83" s="1"/>
  <c r="A66" i="83"/>
  <c r="A94" i="83"/>
  <c r="A122" i="83" s="1"/>
  <c r="A53" i="53" s="1"/>
  <c r="A65" i="83"/>
  <c r="A93" i="83" s="1"/>
  <c r="A64" i="83"/>
  <c r="A92" i="83" s="1"/>
  <c r="C9" i="61"/>
  <c r="C17" i="61"/>
  <c r="H63" i="57"/>
  <c r="V11" i="61"/>
  <c r="V8" i="61"/>
  <c r="V16" i="61" s="1"/>
  <c r="V9" i="61"/>
  <c r="V10" i="61"/>
  <c r="V12" i="61"/>
  <c r="V13" i="61"/>
  <c r="U13" i="61"/>
  <c r="U12" i="61"/>
  <c r="U10" i="61"/>
  <c r="U11" i="61"/>
  <c r="U9" i="61"/>
  <c r="O13" i="61"/>
  <c r="P13" i="61" s="1"/>
  <c r="Q13" i="61" s="1"/>
  <c r="R13" i="61" s="1"/>
  <c r="N13" i="61"/>
  <c r="O12" i="61"/>
  <c r="N12" i="61"/>
  <c r="O11" i="61"/>
  <c r="P11" i="61" s="1"/>
  <c r="Q11" i="61" s="1"/>
  <c r="R11" i="61" s="1"/>
  <c r="N11" i="61"/>
  <c r="N10" i="61"/>
  <c r="O10" i="61"/>
  <c r="O9" i="61"/>
  <c r="P9" i="61"/>
  <c r="N9" i="61"/>
  <c r="R8" i="61"/>
  <c r="Q8" i="61"/>
  <c r="P8" i="61"/>
  <c r="O8" i="61"/>
  <c r="P10" i="61"/>
  <c r="Q10" i="61" s="1"/>
  <c r="R10" i="61" s="1"/>
  <c r="P12" i="61"/>
  <c r="Q12" i="61"/>
  <c r="R12" i="61" s="1"/>
  <c r="C15" i="61"/>
  <c r="C16" i="61"/>
  <c r="I176" i="29"/>
  <c r="H176" i="29"/>
  <c r="G176" i="29"/>
  <c r="F176" i="29"/>
  <c r="E176" i="29"/>
  <c r="D176" i="29"/>
  <c r="C176" i="29"/>
  <c r="B131" i="29"/>
  <c r="B146" i="29" s="1"/>
  <c r="B161" i="29" s="1"/>
  <c r="B176" i="29" s="1"/>
  <c r="B130" i="29"/>
  <c r="B145" i="29" s="1"/>
  <c r="B160" i="29" s="1"/>
  <c r="B175" i="29" s="1"/>
  <c r="I161" i="29"/>
  <c r="H161" i="29"/>
  <c r="G161" i="29"/>
  <c r="F161" i="29"/>
  <c r="E161" i="29"/>
  <c r="D161" i="29"/>
  <c r="C161" i="29"/>
  <c r="I146" i="29"/>
  <c r="H146" i="29"/>
  <c r="G146" i="29"/>
  <c r="F146" i="29"/>
  <c r="E146" i="29"/>
  <c r="D146" i="29"/>
  <c r="C146" i="29"/>
  <c r="I131" i="29"/>
  <c r="H131" i="29"/>
  <c r="G131" i="29"/>
  <c r="F131" i="29"/>
  <c r="E131" i="29"/>
  <c r="D131" i="29"/>
  <c r="C131" i="29"/>
  <c r="B129" i="29"/>
  <c r="B128" i="29"/>
  <c r="B127" i="29"/>
  <c r="B126" i="29"/>
  <c r="B125" i="29"/>
  <c r="B37" i="29"/>
  <c r="B36" i="29"/>
  <c r="B35" i="29"/>
  <c r="B34" i="29"/>
  <c r="B33" i="29"/>
  <c r="B32" i="29"/>
  <c r="C52" i="61"/>
  <c r="C51" i="61"/>
  <c r="C50" i="61"/>
  <c r="C49" i="61"/>
  <c r="C48" i="61"/>
  <c r="C47" i="61"/>
  <c r="G180" i="84"/>
  <c r="G181" i="84"/>
  <c r="G185" i="84" s="1"/>
  <c r="E33" i="21" s="1"/>
  <c r="F180" i="84"/>
  <c r="F181" i="84"/>
  <c r="F185" i="84" s="1"/>
  <c r="D33" i="21" s="1"/>
  <c r="E180" i="84"/>
  <c r="E181" i="84"/>
  <c r="E185" i="84" s="1"/>
  <c r="C33" i="21" s="1"/>
  <c r="A23" i="21"/>
  <c r="A33" i="21"/>
  <c r="A156" i="84"/>
  <c r="A155" i="84"/>
  <c r="A154" i="84"/>
  <c r="A33" i="84"/>
  <c r="A55" i="55"/>
  <c r="A112" i="55"/>
  <c r="A164" i="55"/>
  <c r="A223" i="55" s="1"/>
  <c r="A54" i="55"/>
  <c r="A111" i="55"/>
  <c r="A163" i="55"/>
  <c r="A222" i="55" s="1"/>
  <c r="A53" i="55"/>
  <c r="A110" i="55"/>
  <c r="A162" i="55"/>
  <c r="A221" i="55" s="1"/>
  <c r="A56" i="55"/>
  <c r="A113" i="55"/>
  <c r="A165" i="55"/>
  <c r="A224" i="55" s="1"/>
  <c r="A275" i="55" s="1"/>
  <c r="A179" i="53"/>
  <c r="A243" i="53" s="1"/>
  <c r="A70" i="83"/>
  <c r="A98" i="83"/>
  <c r="A126" i="83"/>
  <c r="A57" i="53" s="1"/>
  <c r="A69" i="83"/>
  <c r="A97" i="83" s="1"/>
  <c r="A125" i="83" s="1"/>
  <c r="A56" i="53" s="1"/>
  <c r="A177" i="53" s="1"/>
  <c r="A241" i="53" s="1"/>
  <c r="A68" i="83"/>
  <c r="A96" i="83"/>
  <c r="A124" i="83"/>
  <c r="A55" i="53" s="1"/>
  <c r="A63" i="83"/>
  <c r="A91" i="83" s="1"/>
  <c r="A62" i="83"/>
  <c r="A90" i="83"/>
  <c r="A118" i="83"/>
  <c r="A49" i="53" s="1"/>
  <c r="A61" i="83"/>
  <c r="A60" i="83"/>
  <c r="A88" i="83"/>
  <c r="A116" i="83"/>
  <c r="A47" i="53" s="1"/>
  <c r="A59" i="83"/>
  <c r="A87" i="83" s="1"/>
  <c r="A58" i="83"/>
  <c r="A86" i="83"/>
  <c r="A114" i="83"/>
  <c r="A45" i="53" s="1"/>
  <c r="A57" i="83"/>
  <c r="A56" i="83"/>
  <c r="A84" i="83"/>
  <c r="A112" i="83"/>
  <c r="A43" i="53" s="1"/>
  <c r="A55" i="83"/>
  <c r="A83" i="83" s="1"/>
  <c r="A54" i="83"/>
  <c r="A82" i="83"/>
  <c r="A110" i="83"/>
  <c r="A41" i="53" s="1"/>
  <c r="A53" i="83"/>
  <c r="A52" i="83"/>
  <c r="A80" i="83"/>
  <c r="A19" i="84" s="1"/>
  <c r="A108" i="83"/>
  <c r="A39" i="53" s="1"/>
  <c r="A51" i="83"/>
  <c r="A79" i="83" s="1"/>
  <c r="A50" i="83"/>
  <c r="A78" i="83"/>
  <c r="A106" i="83"/>
  <c r="A37" i="53" s="1"/>
  <c r="A49" i="83"/>
  <c r="A48" i="83"/>
  <c r="A76" i="83"/>
  <c r="A15" i="84" s="1"/>
  <c r="A104" i="83"/>
  <c r="A35" i="53" s="1"/>
  <c r="A47" i="83"/>
  <c r="A75" i="83" s="1"/>
  <c r="A46" i="83"/>
  <c r="A74" i="83"/>
  <c r="A13" i="84" s="1"/>
  <c r="A44" i="84" s="1"/>
  <c r="A102" i="83"/>
  <c r="A33" i="53" s="1"/>
  <c r="A32" i="53"/>
  <c r="A153" i="53" s="1"/>
  <c r="A220" i="53" s="1"/>
  <c r="A109" i="53"/>
  <c r="A31" i="53"/>
  <c r="A62" i="81"/>
  <c r="A87" i="81"/>
  <c r="A112" i="81"/>
  <c r="A30" i="53"/>
  <c r="A61" i="81"/>
  <c r="A86" i="81"/>
  <c r="A111" i="81"/>
  <c r="A29" i="53"/>
  <c r="A60" i="81"/>
  <c r="A85" i="81"/>
  <c r="A110" i="81"/>
  <c r="A28" i="53"/>
  <c r="A43" i="81"/>
  <c r="A68" i="81" s="1"/>
  <c r="A14" i="72" s="1"/>
  <c r="A38" i="72" s="1"/>
  <c r="A62" i="72" s="1"/>
  <c r="A34" i="55"/>
  <c r="A35" i="55"/>
  <c r="A92" i="55" s="1"/>
  <c r="A144" i="55" s="1"/>
  <c r="A36" i="55"/>
  <c r="A93" i="55" s="1"/>
  <c r="A145" i="55" s="1"/>
  <c r="A204" i="55" s="1"/>
  <c r="A258" i="55" s="1"/>
  <c r="A37" i="55"/>
  <c r="A39" i="55"/>
  <c r="A96" i="55" s="1"/>
  <c r="A148" i="55" s="1"/>
  <c r="A207" i="55" s="1"/>
  <c r="A261" i="55" s="1"/>
  <c r="A40" i="55"/>
  <c r="A97" i="55" s="1"/>
  <c r="A149" i="55" s="1"/>
  <c r="A41" i="55"/>
  <c r="A43" i="55"/>
  <c r="A100" i="55" s="1"/>
  <c r="A152" i="55" s="1"/>
  <c r="A44" i="55"/>
  <c r="A101" i="55" s="1"/>
  <c r="A153" i="55" s="1"/>
  <c r="A212" i="55" s="1"/>
  <c r="A266" i="55" s="1"/>
  <c r="A45" i="55"/>
  <c r="A47" i="55"/>
  <c r="A104" i="55" s="1"/>
  <c r="A156" i="55" s="1"/>
  <c r="A49" i="55"/>
  <c r="A51" i="55"/>
  <c r="A108" i="55" s="1"/>
  <c r="A160" i="55" s="1"/>
  <c r="A219" i="55" s="1"/>
  <c r="A273" i="55" s="1"/>
  <c r="A52" i="55"/>
  <c r="A109" i="55" s="1"/>
  <c r="A161" i="55" s="1"/>
  <c r="A220" i="55" s="1"/>
  <c r="A274" i="55" s="1"/>
  <c r="A57" i="55"/>
  <c r="A58" i="55"/>
  <c r="A59" i="55"/>
  <c r="A116" i="55" s="1"/>
  <c r="A168" i="55" s="1"/>
  <c r="A227" i="55" s="1"/>
  <c r="A278" i="55" s="1"/>
  <c r="A279" i="55"/>
  <c r="A280" i="55"/>
  <c r="A115" i="55"/>
  <c r="A167" i="55" s="1"/>
  <c r="A226" i="55" s="1"/>
  <c r="A277" i="55"/>
  <c r="A114" i="55"/>
  <c r="A166" i="55" s="1"/>
  <c r="A225" i="55" s="1"/>
  <c r="A276" i="55" s="1"/>
  <c r="A106" i="55"/>
  <c r="A158" i="55"/>
  <c r="A217" i="55"/>
  <c r="A271" i="55" s="1"/>
  <c r="A215" i="55"/>
  <c r="A269" i="55" s="1"/>
  <c r="A102" i="55"/>
  <c r="A154" i="55"/>
  <c r="A213" i="55"/>
  <c r="A267" i="55" s="1"/>
  <c r="A211" i="55"/>
  <c r="A265" i="55" s="1"/>
  <c r="A98" i="55"/>
  <c r="A150" i="55"/>
  <c r="A209" i="55"/>
  <c r="A263" i="55" s="1"/>
  <c r="A208" i="55"/>
  <c r="A262" i="55" s="1"/>
  <c r="A94" i="55"/>
  <c r="A146" i="55"/>
  <c r="A205" i="55"/>
  <c r="A259" i="55" s="1"/>
  <c r="A203" i="55"/>
  <c r="A257" i="55" s="1"/>
  <c r="A91" i="55"/>
  <c r="A143" i="55"/>
  <c r="A202" i="55"/>
  <c r="A256" i="55" s="1"/>
  <c r="A255" i="55"/>
  <c r="A254" i="55"/>
  <c r="A31" i="55"/>
  <c r="A88" i="55" s="1"/>
  <c r="A140" i="55" s="1"/>
  <c r="A198" i="55" s="1"/>
  <c r="A253" i="55" s="1"/>
  <c r="A30" i="55"/>
  <c r="A87" i="55"/>
  <c r="A139" i="55"/>
  <c r="A197" i="55"/>
  <c r="A252" i="55" s="1"/>
  <c r="A29" i="55"/>
  <c r="A86" i="55"/>
  <c r="A138" i="55"/>
  <c r="A196" i="55" s="1"/>
  <c r="A251" i="55" s="1"/>
  <c r="A59" i="81"/>
  <c r="A28" i="55"/>
  <c r="A85" i="55" s="1"/>
  <c r="A137" i="55" s="1"/>
  <c r="A195" i="55" s="1"/>
  <c r="A250" i="55"/>
  <c r="A37" i="84"/>
  <c r="A65" i="84"/>
  <c r="A135" i="84"/>
  <c r="A36" i="84"/>
  <c r="A64" i="84" s="1"/>
  <c r="A131" i="84" s="1"/>
  <c r="A35" i="84"/>
  <c r="A63" i="84"/>
  <c r="A127" i="84" s="1"/>
  <c r="A67" i="84"/>
  <c r="A29" i="84"/>
  <c r="A60" i="84"/>
  <c r="A27" i="84"/>
  <c r="A58" i="84" s="1"/>
  <c r="A119" i="84" s="1"/>
  <c r="A25" i="84"/>
  <c r="A23" i="84"/>
  <c r="A21" i="84"/>
  <c r="A52" i="84" s="1"/>
  <c r="A98" i="84" s="1"/>
  <c r="A17" i="84"/>
  <c r="C40" i="84"/>
  <c r="D40" i="84" s="1"/>
  <c r="E40" i="84" s="1"/>
  <c r="F40" i="84" s="1"/>
  <c r="G40" i="84"/>
  <c r="H40" i="84" s="1"/>
  <c r="H41" i="84" s="1"/>
  <c r="G41" i="84"/>
  <c r="F41" i="84"/>
  <c r="E41" i="84"/>
  <c r="D41" i="84"/>
  <c r="C41" i="84"/>
  <c r="C44" i="84" s="1"/>
  <c r="A121" i="84"/>
  <c r="A56" i="84"/>
  <c r="A114" i="84" s="1"/>
  <c r="A54" i="84"/>
  <c r="A106" i="84" s="1"/>
  <c r="A50" i="84"/>
  <c r="A91" i="84" s="1"/>
  <c r="A48" i="84"/>
  <c r="A83" i="84" s="1"/>
  <c r="A46" i="84"/>
  <c r="A75" i="84" s="1"/>
  <c r="E294" i="55"/>
  <c r="E301" i="55"/>
  <c r="C28" i="21"/>
  <c r="E172" i="72"/>
  <c r="E177" i="72" s="1"/>
  <c r="C29" i="21" s="1"/>
  <c r="E265" i="53"/>
  <c r="E266" i="53"/>
  <c r="E267" i="53"/>
  <c r="E268" i="53"/>
  <c r="E273" i="53"/>
  <c r="C32" i="21" s="1"/>
  <c r="E37" i="42"/>
  <c r="E43" i="42"/>
  <c r="C30" i="21"/>
  <c r="F52" i="48"/>
  <c r="F56" i="48"/>
  <c r="C31" i="21"/>
  <c r="D56" i="22"/>
  <c r="D62" i="22"/>
  <c r="D86" i="22"/>
  <c r="C43" i="21"/>
  <c r="F294" i="55"/>
  <c r="F301" i="55"/>
  <c r="D28" i="21"/>
  <c r="F172" i="72"/>
  <c r="F177" i="72" s="1"/>
  <c r="D29" i="21" s="1"/>
  <c r="F265" i="53"/>
  <c r="F266" i="53"/>
  <c r="F273" i="53" s="1"/>
  <c r="D32" i="21" s="1"/>
  <c r="F267" i="53"/>
  <c r="F268" i="53"/>
  <c r="G52" i="48"/>
  <c r="G56" i="48" s="1"/>
  <c r="D31" i="21" s="1"/>
  <c r="E56" i="22"/>
  <c r="E62" i="22"/>
  <c r="E86" i="22"/>
  <c r="D43" i="21"/>
  <c r="G294" i="55"/>
  <c r="G301" i="55" s="1"/>
  <c r="E28" i="21" s="1"/>
  <c r="G172" i="72"/>
  <c r="G177" i="72"/>
  <c r="E29" i="21" s="1"/>
  <c r="G265" i="53"/>
  <c r="G266" i="53"/>
  <c r="G267" i="53"/>
  <c r="G268" i="53"/>
  <c r="H52" i="48"/>
  <c r="H56" i="48"/>
  <c r="E31" i="21" s="1"/>
  <c r="F56" i="22"/>
  <c r="F62" i="22"/>
  <c r="F86" i="22"/>
  <c r="E43" i="21" s="1"/>
  <c r="F111" i="29" s="1"/>
  <c r="H294" i="55"/>
  <c r="H301" i="55"/>
  <c r="F28" i="21" s="1"/>
  <c r="H172" i="72"/>
  <c r="H177" i="72"/>
  <c r="F29" i="21"/>
  <c r="H265" i="53"/>
  <c r="H266" i="53"/>
  <c r="H267" i="53"/>
  <c r="H268" i="53"/>
  <c r="I52" i="48"/>
  <c r="I56" i="48"/>
  <c r="F31" i="21"/>
  <c r="G56" i="22"/>
  <c r="G62" i="22"/>
  <c r="G86" i="22"/>
  <c r="G87" i="22" s="1"/>
  <c r="F43" i="21"/>
  <c r="I294" i="55"/>
  <c r="I301" i="55"/>
  <c r="G28" i="21"/>
  <c r="I172" i="72"/>
  <c r="I177" i="72"/>
  <c r="G29" i="21"/>
  <c r="H56" i="22"/>
  <c r="H62" i="22"/>
  <c r="G43" i="21"/>
  <c r="J172" i="72"/>
  <c r="J177" i="72"/>
  <c r="H29" i="21" s="1"/>
  <c r="I56" i="22"/>
  <c r="I62" i="22"/>
  <c r="H43" i="21"/>
  <c r="K55" i="22"/>
  <c r="K56" i="22"/>
  <c r="K61" i="22"/>
  <c r="K62" i="22" s="1"/>
  <c r="K58" i="22"/>
  <c r="L55" i="22" s="1"/>
  <c r="C87" i="22"/>
  <c r="D87" i="22"/>
  <c r="E87" i="22"/>
  <c r="F87" i="22"/>
  <c r="H87" i="22"/>
  <c r="I87" i="22"/>
  <c r="C58" i="22"/>
  <c r="D55" i="22" s="1"/>
  <c r="D58" i="22" s="1"/>
  <c r="E55" i="22" s="1"/>
  <c r="E58" i="22" s="1"/>
  <c r="F55" i="22" s="1"/>
  <c r="F58" i="22" s="1"/>
  <c r="G55" i="22" s="1"/>
  <c r="G58" i="22" s="1"/>
  <c r="H55" i="22" s="1"/>
  <c r="H58" i="22" s="1"/>
  <c r="I55" i="22" s="1"/>
  <c r="I58" i="22" s="1"/>
  <c r="C57" i="22"/>
  <c r="D57" i="22" s="1"/>
  <c r="E57" i="22" s="1"/>
  <c r="F57" i="22" s="1"/>
  <c r="G57" i="22" s="1"/>
  <c r="H57" i="22" s="1"/>
  <c r="I57" i="22" s="1"/>
  <c r="K57" i="22"/>
  <c r="A61" i="22"/>
  <c r="C64" i="22"/>
  <c r="D61" i="22" s="1"/>
  <c r="D64" i="22" s="1"/>
  <c r="E61" i="22" s="1"/>
  <c r="E64" i="22" s="1"/>
  <c r="F61" i="22" s="1"/>
  <c r="F64" i="22" s="1"/>
  <c r="G61" i="22" s="1"/>
  <c r="G64" i="22" s="1"/>
  <c r="H61" i="22" s="1"/>
  <c r="H64" i="22" s="1"/>
  <c r="I61" i="22" s="1"/>
  <c r="I64" i="22" s="1"/>
  <c r="A62" i="22"/>
  <c r="A63" i="22"/>
  <c r="C63" i="22"/>
  <c r="D63" i="22" s="1"/>
  <c r="E63" i="22" s="1"/>
  <c r="F63" i="22" s="1"/>
  <c r="G63" i="22" s="1"/>
  <c r="H63" i="22" s="1"/>
  <c r="I63" i="22" s="1"/>
  <c r="A64" i="22"/>
  <c r="B140" i="29"/>
  <c r="B155" i="29" s="1"/>
  <c r="B141" i="29"/>
  <c r="B156" i="29" s="1"/>
  <c r="B171" i="29" s="1"/>
  <c r="B142" i="29"/>
  <c r="B143" i="29"/>
  <c r="B144" i="29"/>
  <c r="B159" i="29" s="1"/>
  <c r="B157" i="29"/>
  <c r="B172" i="29" s="1"/>
  <c r="B158" i="29"/>
  <c r="B173" i="29" s="1"/>
  <c r="B170" i="29"/>
  <c r="B174" i="29"/>
  <c r="H32" i="57"/>
  <c r="C111" i="29"/>
  <c r="D111" i="29"/>
  <c r="E111" i="29"/>
  <c r="H111" i="29"/>
  <c r="D97" i="29"/>
  <c r="E97" i="29"/>
  <c r="F97" i="29"/>
  <c r="C61" i="29"/>
  <c r="C65" i="29"/>
  <c r="D65" i="29" s="1"/>
  <c r="E65" i="29" s="1"/>
  <c r="F65" i="29" s="1"/>
  <c r="G65" i="29" s="1"/>
  <c r="H65" i="29" s="1"/>
  <c r="I65" i="29" s="1"/>
  <c r="D61" i="29"/>
  <c r="E61" i="29"/>
  <c r="F61" i="29"/>
  <c r="G61" i="29"/>
  <c r="H61" i="29"/>
  <c r="D12" i="29"/>
  <c r="E12" i="29"/>
  <c r="F12" i="29"/>
  <c r="G12" i="29"/>
  <c r="I12" i="29"/>
  <c r="V12" i="83"/>
  <c r="W12" i="83" s="1"/>
  <c r="X12" i="83"/>
  <c r="P12" i="83"/>
  <c r="Q12" i="83" s="1"/>
  <c r="R12" i="83" s="1"/>
  <c r="S12" i="83" s="1"/>
  <c r="T12" i="83" s="1"/>
  <c r="K12" i="81"/>
  <c r="L12" i="81"/>
  <c r="M12" i="81" s="1"/>
  <c r="N12" i="81"/>
  <c r="A44" i="81"/>
  <c r="A69" i="81" s="1"/>
  <c r="F13" i="48"/>
  <c r="F14" i="48"/>
  <c r="F15" i="48"/>
  <c r="F16" i="48"/>
  <c r="F17" i="48"/>
  <c r="A152" i="53"/>
  <c r="A219" i="53"/>
  <c r="A151" i="53"/>
  <c r="A218" i="53"/>
  <c r="A150" i="53"/>
  <c r="A217" i="53"/>
  <c r="A149" i="53"/>
  <c r="A216" i="53"/>
  <c r="A84" i="81"/>
  <c r="A30" i="72" s="1"/>
  <c r="A54" i="72" s="1"/>
  <c r="A115" i="72" s="1"/>
  <c r="A109" i="81"/>
  <c r="A27" i="53" s="1"/>
  <c r="A26" i="53"/>
  <c r="A147" i="53" s="1"/>
  <c r="A214" i="53" s="1"/>
  <c r="A58" i="81"/>
  <c r="A27" i="55" s="1"/>
  <c r="A84" i="55" s="1"/>
  <c r="A136" i="55" s="1"/>
  <c r="A194" i="55" s="1"/>
  <c r="A249" i="55" s="1"/>
  <c r="A83" i="81"/>
  <c r="A108" i="81" s="1"/>
  <c r="A25" i="53" s="1"/>
  <c r="A57" i="81"/>
  <c r="A82" i="81"/>
  <c r="A107" i="81"/>
  <c r="A24" i="53"/>
  <c r="A145" i="53" s="1"/>
  <c r="A212" i="53" s="1"/>
  <c r="A56" i="81"/>
  <c r="A81" i="81"/>
  <c r="A106" i="81" s="1"/>
  <c r="A23" i="53" s="1"/>
  <c r="A55" i="81"/>
  <c r="A80" i="81"/>
  <c r="A105" i="81"/>
  <c r="A22" i="53"/>
  <c r="A143" i="53" s="1"/>
  <c r="A210" i="53" s="1"/>
  <c r="A54" i="81"/>
  <c r="A23" i="55" s="1"/>
  <c r="A80" i="55" s="1"/>
  <c r="A132" i="55" s="1"/>
  <c r="A190" i="55" s="1"/>
  <c r="A245" i="55" s="1"/>
  <c r="A79" i="81"/>
  <c r="A104" i="81" s="1"/>
  <c r="A21" i="53" s="1"/>
  <c r="A53" i="81"/>
  <c r="A78" i="81"/>
  <c r="A103" i="81"/>
  <c r="A20" i="53"/>
  <c r="A141" i="53" s="1"/>
  <c r="A208" i="53" s="1"/>
  <c r="A52" i="81"/>
  <c r="A77" i="81" s="1"/>
  <c r="A102" i="81" s="1"/>
  <c r="A19" i="53" s="1"/>
  <c r="A51" i="81"/>
  <c r="A76" i="81"/>
  <c r="A101" i="81"/>
  <c r="A18" i="53"/>
  <c r="A139" i="53" s="1"/>
  <c r="A206" i="53" s="1"/>
  <c r="A138" i="53"/>
  <c r="A205" i="53"/>
  <c r="A49" i="81"/>
  <c r="A74" i="81"/>
  <c r="A99" i="81"/>
  <c r="A16" i="53"/>
  <c r="A137" i="53" s="1"/>
  <c r="A204" i="53" s="1"/>
  <c r="A48" i="81"/>
  <c r="A73" i="81"/>
  <c r="A98" i="81" s="1"/>
  <c r="A15" i="53" s="1"/>
  <c r="A47" i="81"/>
  <c r="A72" i="81"/>
  <c r="A97" i="81"/>
  <c r="A14" i="53"/>
  <c r="A135" i="53" s="1"/>
  <c r="A202" i="53" s="1"/>
  <c r="A46" i="81"/>
  <c r="A15" i="55" s="1"/>
  <c r="A72" i="55" s="1"/>
  <c r="A124" i="55" s="1"/>
  <c r="A182" i="55" s="1"/>
  <c r="A237" i="55" s="1"/>
  <c r="A71" i="81"/>
  <c r="A96" i="81" s="1"/>
  <c r="A13" i="53" s="1"/>
  <c r="A45" i="81"/>
  <c r="A70" i="81"/>
  <c r="A95" i="81"/>
  <c r="A12" i="53"/>
  <c r="A133" i="53" s="1"/>
  <c r="A200" i="53" s="1"/>
  <c r="A129" i="53"/>
  <c r="A61" i="53"/>
  <c r="A85" i="53"/>
  <c r="A84" i="53"/>
  <c r="A83" i="53"/>
  <c r="A82" i="53"/>
  <c r="A81" i="53"/>
  <c r="A79" i="53"/>
  <c r="A70" i="53"/>
  <c r="A93" i="81"/>
  <c r="A10" i="53"/>
  <c r="A63" i="53" s="1"/>
  <c r="A50" i="81"/>
  <c r="A75" i="81"/>
  <c r="A100" i="81" s="1"/>
  <c r="A21" i="72"/>
  <c r="A45" i="72" s="1"/>
  <c r="A87" i="72" s="1"/>
  <c r="A20" i="72"/>
  <c r="A44" i="72"/>
  <c r="A83" i="72" s="1"/>
  <c r="A18" i="72"/>
  <c r="A42" i="72" s="1"/>
  <c r="A77" i="72" s="1"/>
  <c r="A17" i="72"/>
  <c r="A41" i="72" s="1"/>
  <c r="A72" i="72" s="1"/>
  <c r="A16" i="72"/>
  <c r="A40" i="72"/>
  <c r="A69" i="72" s="1"/>
  <c r="A121" i="72"/>
  <c r="A31" i="72"/>
  <c r="A55" i="72"/>
  <c r="A118" i="72" s="1"/>
  <c r="A28" i="72"/>
  <c r="A52" i="72" s="1"/>
  <c r="A109" i="72" s="1"/>
  <c r="A27" i="72"/>
  <c r="A51" i="72"/>
  <c r="A106" i="72" s="1"/>
  <c r="A26" i="72"/>
  <c r="A50" i="72"/>
  <c r="A103" i="72"/>
  <c r="A24" i="72"/>
  <c r="A48" i="72" s="1"/>
  <c r="A97" i="72" s="1"/>
  <c r="A22" i="72"/>
  <c r="A46" i="72"/>
  <c r="A91" i="72"/>
  <c r="A26" i="55"/>
  <c r="A83" i="55"/>
  <c r="A135" i="55"/>
  <c r="A193" i="55" s="1"/>
  <c r="A248" i="55" s="1"/>
  <c r="A25" i="55"/>
  <c r="A82" i="55"/>
  <c r="A134" i="55" s="1"/>
  <c r="A192" i="55" s="1"/>
  <c r="A247" i="55" s="1"/>
  <c r="A24" i="55"/>
  <c r="A81" i="55" s="1"/>
  <c r="A133" i="55" s="1"/>
  <c r="A191" i="55" s="1"/>
  <c r="A246" i="55" s="1"/>
  <c r="A22" i="55"/>
  <c r="A79" i="55"/>
  <c r="A131" i="55"/>
  <c r="A189" i="55" s="1"/>
  <c r="A244" i="55" s="1"/>
  <c r="A20" i="55"/>
  <c r="A77" i="55" s="1"/>
  <c r="A129" i="55" s="1"/>
  <c r="A187" i="55" s="1"/>
  <c r="A242" i="55" s="1"/>
  <c r="A19" i="55"/>
  <c r="A76" i="55" s="1"/>
  <c r="A128" i="55" s="1"/>
  <c r="A186" i="55" s="1"/>
  <c r="A241" i="55" s="1"/>
  <c r="A18" i="55"/>
  <c r="A75" i="55"/>
  <c r="A127" i="55"/>
  <c r="A185" i="55" s="1"/>
  <c r="A240" i="55" s="1"/>
  <c r="A17" i="55"/>
  <c r="A74" i="55"/>
  <c r="A126" i="55" s="1"/>
  <c r="A184" i="55" s="1"/>
  <c r="A239" i="55" s="1"/>
  <c r="A16" i="55"/>
  <c r="A73" i="55" s="1"/>
  <c r="A125" i="55" s="1"/>
  <c r="A183" i="55" s="1"/>
  <c r="A238" i="55" s="1"/>
  <c r="A14" i="55"/>
  <c r="A71" i="55"/>
  <c r="A123" i="55"/>
  <c r="A181" i="55" s="1"/>
  <c r="A236" i="55" s="1"/>
  <c r="A13" i="55"/>
  <c r="A70" i="55"/>
  <c r="A122" i="55" s="1"/>
  <c r="A180" i="55" s="1"/>
  <c r="A235" i="55" s="1"/>
  <c r="A12" i="55"/>
  <c r="A69" i="55" s="1"/>
  <c r="A121" i="55" s="1"/>
  <c r="A179" i="55" s="1"/>
  <c r="A234" i="55" s="1"/>
  <c r="A11" i="55"/>
  <c r="A68" i="55" s="1"/>
  <c r="A120" i="55" s="1"/>
  <c r="A178" i="55" s="1"/>
  <c r="A233" i="55" s="1"/>
  <c r="A32" i="55"/>
  <c r="A89" i="55"/>
  <c r="A141" i="55"/>
  <c r="V12" i="81"/>
  <c r="W12" i="81" s="1"/>
  <c r="X12" i="81" s="1"/>
  <c r="P12" i="81"/>
  <c r="Q12" i="81"/>
  <c r="R12" i="81" s="1"/>
  <c r="S12" i="81" s="1"/>
  <c r="T12" i="81" s="1"/>
  <c r="A32" i="48"/>
  <c r="A31" i="48"/>
  <c r="A30" i="48"/>
  <c r="A29" i="48"/>
  <c r="A28" i="48"/>
  <c r="J97" i="29"/>
  <c r="I97" i="29"/>
  <c r="B98" i="29"/>
  <c r="B97" i="29"/>
  <c r="B96" i="29"/>
  <c r="B95" i="29"/>
  <c r="C20" i="68"/>
  <c r="B18" i="69"/>
  <c r="C18" i="69" s="1"/>
  <c r="D18" i="69" s="1"/>
  <c r="E18" i="69" s="1"/>
  <c r="F18" i="69" s="1"/>
  <c r="G18" i="69" s="1"/>
  <c r="H18" i="69" s="1"/>
  <c r="C19" i="68"/>
  <c r="C18" i="68"/>
  <c r="A20" i="21"/>
  <c r="A30" i="21" s="1"/>
  <c r="A19" i="21"/>
  <c r="A29" i="21" s="1"/>
  <c r="A18" i="21"/>
  <c r="A28" i="21" s="1"/>
  <c r="A21" i="21"/>
  <c r="A31" i="21"/>
  <c r="A22" i="21"/>
  <c r="A32" i="21" s="1"/>
  <c r="D45" i="42"/>
  <c r="K145" i="72"/>
  <c r="H28" i="69"/>
  <c r="B16" i="68"/>
  <c r="B15" i="68"/>
  <c r="A251" i="53"/>
  <c r="A250" i="53"/>
  <c r="A249" i="53"/>
  <c r="A247" i="53"/>
  <c r="A246" i="53"/>
  <c r="A245" i="53"/>
  <c r="A244" i="53"/>
  <c r="A195" i="53"/>
  <c r="H27" i="69"/>
  <c r="H31" i="69"/>
  <c r="C27" i="69"/>
  <c r="B27" i="69"/>
  <c r="D47" i="42"/>
  <c r="D27" i="69"/>
  <c r="E27" i="69"/>
  <c r="G27" i="69"/>
  <c r="F27" i="69"/>
  <c r="C10" i="23"/>
  <c r="D10" i="23"/>
  <c r="F10" i="23"/>
  <c r="E10" i="23" s="1"/>
  <c r="D8" i="23"/>
  <c r="F18" i="23" s="1"/>
  <c r="G273" i="53" l="1"/>
  <c r="E32" i="21" s="1"/>
  <c r="D273" i="53"/>
  <c r="B32" i="21" s="1"/>
  <c r="F22" i="81"/>
  <c r="H22" i="81" s="1"/>
  <c r="B100" i="81"/>
  <c r="C113" i="81"/>
  <c r="D30" i="53" s="1"/>
  <c r="D83" i="53" s="1"/>
  <c r="C100" i="81"/>
  <c r="D100" i="81" s="1"/>
  <c r="E100" i="81" s="1"/>
  <c r="F100" i="81" s="1"/>
  <c r="G100" i="81" s="1"/>
  <c r="H100" i="81" s="1"/>
  <c r="A21" i="55"/>
  <c r="A78" i="55" s="1"/>
  <c r="A130" i="55" s="1"/>
  <c r="A188" i="55" s="1"/>
  <c r="A243" i="55" s="1"/>
  <c r="P16" i="61"/>
  <c r="O16" i="61"/>
  <c r="F38" i="61"/>
  <c r="C10" i="21"/>
  <c r="B10" i="21"/>
  <c r="J11" i="48"/>
  <c r="E28" i="48"/>
  <c r="F28" i="48"/>
  <c r="H28" i="48"/>
  <c r="E32" i="48"/>
  <c r="H32" i="48"/>
  <c r="J10" i="48"/>
  <c r="C30" i="48"/>
  <c r="E30" i="48" s="1"/>
  <c r="C44" i="48"/>
  <c r="E44" i="48" s="1"/>
  <c r="I32" i="48"/>
  <c r="J12" i="48"/>
  <c r="G32" i="48"/>
  <c r="F32" i="48"/>
  <c r="C29" i="48"/>
  <c r="J9" i="48"/>
  <c r="G28" i="48"/>
  <c r="J8" i="48"/>
  <c r="I28" i="48"/>
  <c r="A134" i="53"/>
  <c r="A201" i="53" s="1"/>
  <c r="A66" i="53"/>
  <c r="A146" i="53"/>
  <c r="A213" i="53" s="1"/>
  <c r="A78" i="53"/>
  <c r="K63" i="22"/>
  <c r="K64" i="22"/>
  <c r="L61" i="22" s="1"/>
  <c r="A142" i="53"/>
  <c r="A209" i="53" s="1"/>
  <c r="A74" i="53"/>
  <c r="G10" i="23"/>
  <c r="C11" i="23" s="1"/>
  <c r="A68" i="53"/>
  <c r="A136" i="53"/>
  <c r="A203" i="53" s="1"/>
  <c r="A76" i="53"/>
  <c r="A144" i="53"/>
  <c r="A211" i="53" s="1"/>
  <c r="A15" i="72"/>
  <c r="A39" i="72" s="1"/>
  <c r="A65" i="72" s="1"/>
  <c r="A94" i="81"/>
  <c r="A11" i="53" s="1"/>
  <c r="A72" i="53"/>
  <c r="A140" i="53"/>
  <c r="A207" i="53" s="1"/>
  <c r="A148" i="53"/>
  <c r="A215" i="53" s="1"/>
  <c r="A80" i="53"/>
  <c r="F90" i="23"/>
  <c r="F86" i="23"/>
  <c r="F77" i="23"/>
  <c r="F73" i="23"/>
  <c r="F69" i="23"/>
  <c r="F68" i="23"/>
  <c r="F64" i="23"/>
  <c r="F17" i="23"/>
  <c r="H97" i="29"/>
  <c r="H12" i="29"/>
  <c r="A88" i="53"/>
  <c r="A156" i="53"/>
  <c r="A223" i="53" s="1"/>
  <c r="A77" i="83"/>
  <c r="A38" i="55"/>
  <c r="A95" i="55" s="1"/>
  <c r="A147" i="55" s="1"/>
  <c r="A206" i="55" s="1"/>
  <c r="A260" i="55" s="1"/>
  <c r="A96" i="53"/>
  <c r="A164" i="53"/>
  <c r="A231" i="53" s="1"/>
  <c r="A85" i="83"/>
  <c r="A46" i="55"/>
  <c r="A103" i="55" s="1"/>
  <c r="A155" i="55" s="1"/>
  <c r="A214" i="55" s="1"/>
  <c r="A268" i="55" s="1"/>
  <c r="A176" i="53"/>
  <c r="A240" i="53" s="1"/>
  <c r="A108" i="53"/>
  <c r="A178" i="53"/>
  <c r="A242" i="53" s="1"/>
  <c r="A110" i="53"/>
  <c r="A120" i="83"/>
  <c r="A51" i="53" s="1"/>
  <c r="A31" i="84"/>
  <c r="A34" i="84"/>
  <c r="A62" i="84" s="1"/>
  <c r="A123" i="84" s="1"/>
  <c r="A123" i="83"/>
  <c r="A54" i="53" s="1"/>
  <c r="F82" i="23"/>
  <c r="F60" i="23"/>
  <c r="F55" i="23"/>
  <c r="F51" i="23"/>
  <c r="F47" i="23"/>
  <c r="F42" i="23"/>
  <c r="F38" i="23"/>
  <c r="F34" i="23"/>
  <c r="F29" i="23"/>
  <c r="F25" i="23"/>
  <c r="F21" i="23"/>
  <c r="F93" i="23"/>
  <c r="F89" i="23"/>
  <c r="F85" i="23"/>
  <c r="F81" i="23"/>
  <c r="F80" i="23"/>
  <c r="F76" i="23"/>
  <c r="F72" i="23"/>
  <c r="F67" i="23"/>
  <c r="F63" i="23"/>
  <c r="F59" i="23"/>
  <c r="F54" i="23"/>
  <c r="F50" i="23"/>
  <c r="F46" i="23"/>
  <c r="F41" i="23"/>
  <c r="F37" i="23"/>
  <c r="F33" i="23"/>
  <c r="F32" i="23"/>
  <c r="F28" i="23"/>
  <c r="F24" i="23"/>
  <c r="F20" i="23"/>
  <c r="F16" i="23"/>
  <c r="A23" i="72"/>
  <c r="A47" i="72" s="1"/>
  <c r="A94" i="72" s="1"/>
  <c r="A67" i="53"/>
  <c r="A71" i="53"/>
  <c r="A75" i="53"/>
  <c r="A158" i="53"/>
  <c r="A225" i="53" s="1"/>
  <c r="A90" i="53"/>
  <c r="A107" i="83"/>
  <c r="A38" i="53" s="1"/>
  <c r="A18" i="84"/>
  <c r="A49" i="84" s="1"/>
  <c r="A87" i="84" s="1"/>
  <c r="A166" i="53"/>
  <c r="A233" i="53" s="1"/>
  <c r="A98" i="53"/>
  <c r="A115" i="83"/>
  <c r="A46" i="53" s="1"/>
  <c r="A26" i="84"/>
  <c r="A57" i="84" s="1"/>
  <c r="A118" i="84" s="1"/>
  <c r="Q16" i="61"/>
  <c r="A121" i="83"/>
  <c r="A52" i="53" s="1"/>
  <c r="A32" i="84"/>
  <c r="A92" i="81"/>
  <c r="A9" i="53" s="1"/>
  <c r="A13" i="72"/>
  <c r="A37" i="72" s="1"/>
  <c r="A58" i="72" s="1"/>
  <c r="A19" i="72"/>
  <c r="A43" i="72" s="1"/>
  <c r="A80" i="72" s="1"/>
  <c r="L58" i="22"/>
  <c r="M55" i="22" s="1"/>
  <c r="L56" i="22"/>
  <c r="L57" i="22" s="1"/>
  <c r="I61" i="29"/>
  <c r="J12" i="29"/>
  <c r="I111" i="29"/>
  <c r="A48" i="55"/>
  <c r="A105" i="55" s="1"/>
  <c r="A157" i="55" s="1"/>
  <c r="A216" i="55" s="1"/>
  <c r="A270" i="55" s="1"/>
  <c r="A92" i="53"/>
  <c r="A160" i="53"/>
  <c r="A227" i="53" s="1"/>
  <c r="A81" i="83"/>
  <c r="A42" i="55"/>
  <c r="A99" i="55" s="1"/>
  <c r="A151" i="55" s="1"/>
  <c r="A210" i="55" s="1"/>
  <c r="A264" i="55" s="1"/>
  <c r="A100" i="53"/>
  <c r="A168" i="53"/>
  <c r="A235" i="53" s="1"/>
  <c r="A89" i="83"/>
  <c r="A50" i="55"/>
  <c r="A107" i="55" s="1"/>
  <c r="A159" i="55" s="1"/>
  <c r="A218" i="55" s="1"/>
  <c r="A272" i="55" s="1"/>
  <c r="R16" i="61"/>
  <c r="A174" i="53"/>
  <c r="A106" i="53"/>
  <c r="F92" i="23"/>
  <c r="F88" i="23"/>
  <c r="F84" i="23"/>
  <c r="F79" i="23"/>
  <c r="F75" i="23"/>
  <c r="F71" i="23"/>
  <c r="F66" i="23"/>
  <c r="F62" i="23"/>
  <c r="F58" i="23"/>
  <c r="F53" i="23"/>
  <c r="F49" i="23"/>
  <c r="F45" i="23"/>
  <c r="F44" i="23"/>
  <c r="F40" i="23"/>
  <c r="F36" i="23"/>
  <c r="F31" i="23"/>
  <c r="F27" i="23"/>
  <c r="F23" i="23"/>
  <c r="F19" i="23"/>
  <c r="F91" i="23"/>
  <c r="F87" i="23"/>
  <c r="F83" i="23"/>
  <c r="F78" i="23"/>
  <c r="F74" i="23"/>
  <c r="F70" i="23"/>
  <c r="F65" i="23"/>
  <c r="F61" i="23"/>
  <c r="F57" i="23"/>
  <c r="F56" i="23"/>
  <c r="F52" i="23"/>
  <c r="F48" i="23"/>
  <c r="F43" i="23"/>
  <c r="F39" i="23"/>
  <c r="F35" i="23"/>
  <c r="F30" i="23"/>
  <c r="F26" i="23"/>
  <c r="F22" i="23"/>
  <c r="A131" i="53"/>
  <c r="A198" i="53" s="1"/>
  <c r="A25" i="72"/>
  <c r="A49" i="72" s="1"/>
  <c r="A100" i="72" s="1"/>
  <c r="A29" i="72"/>
  <c r="A53" i="72" s="1"/>
  <c r="A112" i="72" s="1"/>
  <c r="A65" i="53"/>
  <c r="A69" i="53"/>
  <c r="A73" i="53"/>
  <c r="A77" i="53"/>
  <c r="G97" i="29"/>
  <c r="G111" i="29"/>
  <c r="H273" i="53"/>
  <c r="F32" i="21" s="1"/>
  <c r="A154" i="53"/>
  <c r="A221" i="53" s="1"/>
  <c r="A86" i="53"/>
  <c r="A103" i="83"/>
  <c r="A34" i="53" s="1"/>
  <c r="A14" i="84"/>
  <c r="A45" i="84" s="1"/>
  <c r="A71" i="84" s="1"/>
  <c r="A162" i="53"/>
  <c r="A229" i="53" s="1"/>
  <c r="A94" i="53"/>
  <c r="A111" i="83"/>
  <c r="A42" i="53" s="1"/>
  <c r="A22" i="84"/>
  <c r="A53" i="84" s="1"/>
  <c r="A102" i="84" s="1"/>
  <c r="A170" i="53"/>
  <c r="A237" i="53" s="1"/>
  <c r="A102" i="53"/>
  <c r="A119" i="83"/>
  <c r="A50" i="53" s="1"/>
  <c r="A30" i="84"/>
  <c r="A61" i="84" s="1"/>
  <c r="A122" i="84" s="1"/>
  <c r="Q9" i="61"/>
  <c r="R9" i="61" s="1"/>
  <c r="E151" i="53"/>
  <c r="E218" i="53"/>
  <c r="G219" i="53"/>
  <c r="H152" i="53"/>
  <c r="G152" i="53"/>
  <c r="D127" i="29"/>
  <c r="D142" i="29"/>
  <c r="D157" i="29"/>
  <c r="J222" i="55"/>
  <c r="F17" i="42"/>
  <c r="E27" i="42"/>
  <c r="E28" i="42"/>
  <c r="J23" i="48"/>
  <c r="I124" i="53"/>
  <c r="F33" i="72"/>
  <c r="E34" i="72"/>
  <c r="E205" i="53"/>
  <c r="F214" i="53"/>
  <c r="G243" i="53"/>
  <c r="D113" i="81"/>
  <c r="F205" i="53"/>
  <c r="G214" i="53"/>
  <c r="E254" i="55"/>
  <c r="C141" i="55"/>
  <c r="H149" i="84"/>
  <c r="J172" i="55"/>
  <c r="I279" i="55"/>
  <c r="I254" i="55"/>
  <c r="G141" i="55"/>
  <c r="E23" i="22"/>
  <c r="B35" i="21" s="1"/>
  <c r="B36" i="21" s="1"/>
  <c r="G47" i="57"/>
  <c r="G4" i="22"/>
  <c r="F20" i="22"/>
  <c r="F16" i="22"/>
  <c r="F23" i="22" s="1"/>
  <c r="C35" i="21" s="1"/>
  <c r="C36" i="21" s="1"/>
  <c r="F21" i="22"/>
  <c r="F22" i="22"/>
  <c r="F18" i="22"/>
  <c r="G32" i="57"/>
  <c r="E36" i="48"/>
  <c r="D14" i="83"/>
  <c r="D16" i="83"/>
  <c r="D20" i="83"/>
  <c r="D21" i="83"/>
  <c r="D22" i="83"/>
  <c r="C23" i="83"/>
  <c r="D37" i="83"/>
  <c r="D38" i="83"/>
  <c r="D39" i="83"/>
  <c r="D40" i="83"/>
  <c r="D15" i="83"/>
  <c r="D17" i="83"/>
  <c r="D18" i="83"/>
  <c r="D19" i="83"/>
  <c r="C32" i="83"/>
  <c r="F78" i="57"/>
  <c r="D7" i="62" s="1"/>
  <c r="B50" i="81"/>
  <c r="B75" i="81"/>
  <c r="G12" i="57"/>
  <c r="D5" i="62" s="1"/>
  <c r="C23" i="81"/>
  <c r="C32" i="81"/>
  <c r="D14" i="81"/>
  <c r="D15" i="81"/>
  <c r="D16" i="81"/>
  <c r="D17" i="81"/>
  <c r="D18" i="81"/>
  <c r="D19" i="81"/>
  <c r="D20" i="81"/>
  <c r="D21" i="81"/>
  <c r="C157" i="29" l="1"/>
  <c r="C142" i="29"/>
  <c r="C34" i="29"/>
  <c r="C127" i="29"/>
  <c r="C172" i="29"/>
  <c r="D172" i="29"/>
  <c r="D34" i="29"/>
  <c r="G63" i="57"/>
  <c r="D6" i="62" s="1"/>
  <c r="C16" i="68" s="1"/>
  <c r="F30" i="48"/>
  <c r="G30" i="48"/>
  <c r="I44" i="48"/>
  <c r="I30" i="48"/>
  <c r="H44" i="48"/>
  <c r="H30" i="48"/>
  <c r="F44" i="48"/>
  <c r="G44" i="48"/>
  <c r="C43" i="48"/>
  <c r="I43" i="48" s="1"/>
  <c r="E29" i="48"/>
  <c r="E39" i="48" s="1"/>
  <c r="E35" i="61" s="1"/>
  <c r="G29" i="48"/>
  <c r="H29" i="48"/>
  <c r="I29" i="48"/>
  <c r="F29" i="48"/>
  <c r="F39" i="48" s="1"/>
  <c r="F35" i="61" s="1"/>
  <c r="F6" i="62"/>
  <c r="C43" i="22"/>
  <c r="D149" i="29"/>
  <c r="D179" i="29"/>
  <c r="D23" i="68"/>
  <c r="D134" i="29"/>
  <c r="D164" i="29"/>
  <c r="C134" i="29"/>
  <c r="C164" i="29"/>
  <c r="C179" i="29"/>
  <c r="C149" i="29"/>
  <c r="C23" i="68"/>
  <c r="B93" i="81"/>
  <c r="F15" i="81"/>
  <c r="H15" i="81" s="1"/>
  <c r="D33" i="83"/>
  <c r="D34" i="83"/>
  <c r="D35" i="83"/>
  <c r="D36" i="83"/>
  <c r="B123" i="83"/>
  <c r="F37" i="83"/>
  <c r="H37" i="83" s="1"/>
  <c r="E113" i="81"/>
  <c r="E30" i="53"/>
  <c r="E83" i="53" s="1"/>
  <c r="A103" i="53"/>
  <c r="A171" i="53"/>
  <c r="A238" i="53" s="1"/>
  <c r="A24" i="84"/>
  <c r="A55" i="84" s="1"/>
  <c r="A110" i="84" s="1"/>
  <c r="A113" i="83"/>
  <c r="A44" i="53" s="1"/>
  <c r="B99" i="81"/>
  <c r="F21" i="81"/>
  <c r="H21" i="81" s="1"/>
  <c r="B95" i="81"/>
  <c r="F17" i="81"/>
  <c r="H17" i="81" s="1"/>
  <c r="D34" i="81"/>
  <c r="D36" i="81"/>
  <c r="D35" i="81"/>
  <c r="F35" i="81" s="1"/>
  <c r="H35" i="81" s="1"/>
  <c r="D33" i="81"/>
  <c r="B106" i="83"/>
  <c r="F18" i="83"/>
  <c r="H18" i="83" s="1"/>
  <c r="B125" i="83"/>
  <c r="F39" i="83"/>
  <c r="H39" i="83" s="1"/>
  <c r="B102" i="83"/>
  <c r="F14" i="83"/>
  <c r="H14" i="83" s="1"/>
  <c r="N14" i="83"/>
  <c r="H74" i="83" s="1"/>
  <c r="H13" i="84" s="1"/>
  <c r="K14" i="83"/>
  <c r="E74" i="83" s="1"/>
  <c r="E13" i="84" s="1"/>
  <c r="L14" i="83"/>
  <c r="F74" i="83" s="1"/>
  <c r="F13" i="84" s="1"/>
  <c r="M14" i="83"/>
  <c r="G74" i="83" s="1"/>
  <c r="G13" i="84" s="1"/>
  <c r="J14" i="83"/>
  <c r="D74" i="83" s="1"/>
  <c r="D13" i="84" s="1"/>
  <c r="G21" i="22"/>
  <c r="G17" i="22"/>
  <c r="H4" i="22"/>
  <c r="G22" i="22"/>
  <c r="G19" i="22"/>
  <c r="G20" i="22"/>
  <c r="G18" i="22"/>
  <c r="G16" i="22"/>
  <c r="G15" i="22"/>
  <c r="G13" i="22"/>
  <c r="G11" i="22"/>
  <c r="G8" i="22"/>
  <c r="G9" i="22"/>
  <c r="G14" i="22"/>
  <c r="G12" i="22"/>
  <c r="G10" i="22"/>
  <c r="B98" i="81"/>
  <c r="F20" i="81"/>
  <c r="H20" i="81" s="1"/>
  <c r="B94" i="81"/>
  <c r="F16" i="81"/>
  <c r="H16" i="81" s="1"/>
  <c r="D29" i="81"/>
  <c r="D30" i="81"/>
  <c r="D28" i="81"/>
  <c r="D24" i="81"/>
  <c r="D25" i="81"/>
  <c r="D26" i="81"/>
  <c r="D27" i="81"/>
  <c r="D31" i="81"/>
  <c r="F7" i="62"/>
  <c r="C49" i="22"/>
  <c r="C17" i="68"/>
  <c r="B105" i="83"/>
  <c r="F17" i="83"/>
  <c r="H17" i="83" s="1"/>
  <c r="B124" i="83"/>
  <c r="F38" i="83"/>
  <c r="H38" i="83" s="1"/>
  <c r="B109" i="83"/>
  <c r="F21" i="83"/>
  <c r="H21" i="83" s="1"/>
  <c r="I199" i="55"/>
  <c r="J199" i="55"/>
  <c r="J279" i="55"/>
  <c r="J280" i="55"/>
  <c r="J255" i="55"/>
  <c r="J254" i="55"/>
  <c r="J223" i="55"/>
  <c r="J221" i="55"/>
  <c r="J294" i="55"/>
  <c r="J301" i="55" s="1"/>
  <c r="H28" i="21" s="1"/>
  <c r="A173" i="53"/>
  <c r="A105" i="53"/>
  <c r="A175" i="53"/>
  <c r="A239" i="53" s="1"/>
  <c r="A107" i="53"/>
  <c r="D11" i="23"/>
  <c r="L62" i="22"/>
  <c r="L63" i="22" s="1"/>
  <c r="E20" i="62"/>
  <c r="C10" i="68" s="1"/>
  <c r="F5" i="62"/>
  <c r="C37" i="22"/>
  <c r="C15" i="68"/>
  <c r="B103" i="83"/>
  <c r="F15" i="83"/>
  <c r="H15" i="83" s="1"/>
  <c r="B108" i="83"/>
  <c r="F20" i="83"/>
  <c r="H20" i="83" s="1"/>
  <c r="A87" i="53"/>
  <c r="A155" i="53"/>
  <c r="A222" i="53" s="1"/>
  <c r="A16" i="84"/>
  <c r="A47" i="84" s="1"/>
  <c r="A79" i="84" s="1"/>
  <c r="A105" i="83"/>
  <c r="A36" i="53" s="1"/>
  <c r="B96" i="81"/>
  <c r="F18" i="81"/>
  <c r="H18" i="81" s="1"/>
  <c r="B92" i="81"/>
  <c r="F14" i="81"/>
  <c r="H14" i="81" s="1"/>
  <c r="J14" i="81"/>
  <c r="L14" i="81"/>
  <c r="N14" i="81"/>
  <c r="M14" i="81"/>
  <c r="K14" i="81"/>
  <c r="B21" i="72"/>
  <c r="B45" i="72" s="1"/>
  <c r="C75" i="81"/>
  <c r="B107" i="83"/>
  <c r="F19" i="83"/>
  <c r="H19" i="83" s="1"/>
  <c r="B126" i="83"/>
  <c r="F40" i="83"/>
  <c r="H40" i="83" s="1"/>
  <c r="D24" i="83"/>
  <c r="D25" i="83"/>
  <c r="D26" i="83"/>
  <c r="D27" i="83"/>
  <c r="D31" i="83"/>
  <c r="D28" i="83"/>
  <c r="D29" i="83"/>
  <c r="D30" i="83"/>
  <c r="B104" i="83"/>
  <c r="F16" i="83"/>
  <c r="H16" i="83" s="1"/>
  <c r="J124" i="53"/>
  <c r="I205" i="53"/>
  <c r="I219" i="53"/>
  <c r="I152" i="53"/>
  <c r="I214" i="53"/>
  <c r="I243" i="53"/>
  <c r="I266" i="53"/>
  <c r="I267" i="53"/>
  <c r="I268" i="53"/>
  <c r="I265" i="53"/>
  <c r="E34" i="42"/>
  <c r="A62" i="53"/>
  <c r="A130" i="53"/>
  <c r="A197" i="53" s="1"/>
  <c r="B97" i="81"/>
  <c r="F19" i="81"/>
  <c r="H19" i="81" s="1"/>
  <c r="I149" i="84"/>
  <c r="H180" i="84"/>
  <c r="H185" i="84" s="1"/>
  <c r="F33" i="21" s="1"/>
  <c r="H181" i="84"/>
  <c r="G33" i="72"/>
  <c r="F34" i="72"/>
  <c r="A95" i="53"/>
  <c r="A163" i="53"/>
  <c r="A230" i="53" s="1"/>
  <c r="A132" i="53"/>
  <c r="A199" i="53" s="1"/>
  <c r="A64" i="53"/>
  <c r="B19" i="55"/>
  <c r="B76" i="55" s="1"/>
  <c r="C50" i="81"/>
  <c r="B110" i="83"/>
  <c r="F22" i="83"/>
  <c r="H22" i="83" s="1"/>
  <c r="E199" i="55"/>
  <c r="F199" i="55"/>
  <c r="J44" i="48"/>
  <c r="J28" i="48"/>
  <c r="J32" i="48"/>
  <c r="J36" i="48"/>
  <c r="K23" i="48"/>
  <c r="J29" i="48"/>
  <c r="J33" i="48"/>
  <c r="J37" i="48"/>
  <c r="J35" i="48"/>
  <c r="J52" i="48"/>
  <c r="J56" i="48" s="1"/>
  <c r="G31" i="21" s="1"/>
  <c r="J30" i="48"/>
  <c r="J38" i="48"/>
  <c r="J31" i="48"/>
  <c r="J34" i="48"/>
  <c r="G17" i="42"/>
  <c r="F27" i="42"/>
  <c r="F28" i="42"/>
  <c r="F29" i="42"/>
  <c r="F37" i="42"/>
  <c r="F43" i="42" s="1"/>
  <c r="D30" i="21" s="1"/>
  <c r="F21" i="42"/>
  <c r="F23" i="42" s="1"/>
  <c r="A117" i="83"/>
  <c r="A48" i="53" s="1"/>
  <c r="A28" i="84"/>
  <c r="A59" i="84" s="1"/>
  <c r="A120" i="84" s="1"/>
  <c r="A20" i="84"/>
  <c r="A51" i="84" s="1"/>
  <c r="A94" i="84" s="1"/>
  <c r="A109" i="83"/>
  <c r="A40" i="53" s="1"/>
  <c r="M58" i="22"/>
  <c r="N55" i="22" s="1"/>
  <c r="M56" i="22"/>
  <c r="M57" i="22" s="1"/>
  <c r="A99" i="53"/>
  <c r="A167" i="53"/>
  <c r="A234" i="53" s="1"/>
  <c r="A91" i="53"/>
  <c r="A159" i="53"/>
  <c r="A226" i="53" s="1"/>
  <c r="A172" i="53"/>
  <c r="A104" i="53"/>
  <c r="G39" i="48" l="1"/>
  <c r="D11" i="21" s="1"/>
  <c r="F12" i="62"/>
  <c r="E19" i="62" s="1"/>
  <c r="I49" i="48"/>
  <c r="I57" i="48" s="1"/>
  <c r="J43" i="48"/>
  <c r="J49" i="48" s="1"/>
  <c r="E43" i="48"/>
  <c r="E49" i="48" s="1"/>
  <c r="E57" i="48" s="1"/>
  <c r="E59" i="48" s="1"/>
  <c r="I39" i="48"/>
  <c r="I35" i="61" s="1"/>
  <c r="G43" i="48"/>
  <c r="G49" i="48" s="1"/>
  <c r="G48" i="61" s="1"/>
  <c r="H43" i="48"/>
  <c r="H49" i="48" s="1"/>
  <c r="H57" i="48" s="1"/>
  <c r="F43" i="48"/>
  <c r="F49" i="48" s="1"/>
  <c r="C21" i="21" s="1"/>
  <c r="H39" i="48"/>
  <c r="E11" i="21" s="1"/>
  <c r="F173" i="29" s="1"/>
  <c r="B11" i="21"/>
  <c r="C35" i="29" s="1"/>
  <c r="C11" i="21"/>
  <c r="D35" i="29" s="1"/>
  <c r="F21" i="21"/>
  <c r="I48" i="61"/>
  <c r="K44" i="48"/>
  <c r="K31" i="48"/>
  <c r="K35" i="48"/>
  <c r="K28" i="48"/>
  <c r="K32" i="48"/>
  <c r="K36" i="48"/>
  <c r="K29" i="48"/>
  <c r="K37" i="48"/>
  <c r="K43" i="48"/>
  <c r="K49" i="48" s="1"/>
  <c r="K30" i="48"/>
  <c r="K38" i="48"/>
  <c r="K33" i="48"/>
  <c r="K52" i="48"/>
  <c r="K56" i="48" s="1"/>
  <c r="H31" i="21" s="1"/>
  <c r="K34" i="48"/>
  <c r="C20" i="21"/>
  <c r="F51" i="61"/>
  <c r="E45" i="42"/>
  <c r="E47" i="42" s="1"/>
  <c r="A157" i="53"/>
  <c r="A224" i="53" s="1"/>
  <c r="A89" i="53"/>
  <c r="B51" i="83"/>
  <c r="B79" i="83"/>
  <c r="B53" i="83"/>
  <c r="B81" i="83"/>
  <c r="C15" i="53"/>
  <c r="C68" i="53" s="1"/>
  <c r="C98" i="81"/>
  <c r="F151" i="53"/>
  <c r="F218" i="53"/>
  <c r="B122" i="83"/>
  <c r="F36" i="83"/>
  <c r="H36" i="83" s="1"/>
  <c r="B43" i="81"/>
  <c r="B68" i="81"/>
  <c r="A169" i="53"/>
  <c r="A236" i="53" s="1"/>
  <c r="A101" i="53"/>
  <c r="B54" i="83"/>
  <c r="B82" i="83"/>
  <c r="B116" i="83"/>
  <c r="F29" i="83"/>
  <c r="H29" i="83" s="1"/>
  <c r="B113" i="83"/>
  <c r="F26" i="83"/>
  <c r="H26" i="83" s="1"/>
  <c r="A93" i="53"/>
  <c r="A161" i="53"/>
  <c r="A228" i="53" s="1"/>
  <c r="G38" i="61"/>
  <c r="D10" i="21"/>
  <c r="I273" i="53"/>
  <c r="G32" i="21" s="1"/>
  <c r="B115" i="83"/>
  <c r="F28" i="83"/>
  <c r="H28" i="83" s="1"/>
  <c r="B112" i="83"/>
  <c r="F25" i="83"/>
  <c r="H25" i="83" s="1"/>
  <c r="C13" i="53"/>
  <c r="C66" i="53" s="1"/>
  <c r="C96" i="81"/>
  <c r="C34" i="53"/>
  <c r="C87" i="53" s="1"/>
  <c r="C103" i="83"/>
  <c r="B106" i="81"/>
  <c r="F29" i="81"/>
  <c r="H29" i="81" s="1"/>
  <c r="H44" i="84"/>
  <c r="C56" i="53"/>
  <c r="C109" i="53" s="1"/>
  <c r="C125" i="83"/>
  <c r="C12" i="53"/>
  <c r="C65" i="53" s="1"/>
  <c r="C95" i="81"/>
  <c r="G29" i="42"/>
  <c r="G28" i="42"/>
  <c r="H17" i="42"/>
  <c r="G27" i="42"/>
  <c r="G37" i="42"/>
  <c r="G43" i="42" s="1"/>
  <c r="E30" i="21" s="1"/>
  <c r="G21" i="42"/>
  <c r="G23" i="42" s="1"/>
  <c r="D50" i="81"/>
  <c r="C19" i="55"/>
  <c r="C76" i="55" s="1"/>
  <c r="G34" i="72"/>
  <c r="H33" i="72"/>
  <c r="H34" i="72" s="1"/>
  <c r="C35" i="53"/>
  <c r="C88" i="53" s="1"/>
  <c r="C104" i="83"/>
  <c r="B118" i="83"/>
  <c r="F31" i="83"/>
  <c r="H31" i="83" s="1"/>
  <c r="B111" i="83"/>
  <c r="F24" i="83"/>
  <c r="H24" i="83" s="1"/>
  <c r="C38" i="53"/>
  <c r="C91" i="53" s="1"/>
  <c r="C107" i="83"/>
  <c r="B42" i="81"/>
  <c r="B67" i="81"/>
  <c r="B52" i="83"/>
  <c r="B80" i="83"/>
  <c r="C40" i="53"/>
  <c r="C93" i="53" s="1"/>
  <c r="C109" i="83"/>
  <c r="C36" i="53"/>
  <c r="C89" i="53" s="1"/>
  <c r="C105" i="83"/>
  <c r="B108" i="81"/>
  <c r="F31" i="81"/>
  <c r="H31" i="81" s="1"/>
  <c r="B101" i="81"/>
  <c r="F24" i="81"/>
  <c r="H24" i="81" s="1"/>
  <c r="B44" i="81"/>
  <c r="B69" i="81"/>
  <c r="G23" i="22"/>
  <c r="D35" i="21" s="1"/>
  <c r="D36" i="21" s="1"/>
  <c r="G44" i="84"/>
  <c r="B46" i="83"/>
  <c r="B74" i="83"/>
  <c r="B13" i="84" s="1"/>
  <c r="B50" i="83"/>
  <c r="B78" i="83"/>
  <c r="B112" i="81"/>
  <c r="F36" i="81"/>
  <c r="H36" i="81" s="1"/>
  <c r="B49" i="81"/>
  <c r="B74" i="81"/>
  <c r="F113" i="81"/>
  <c r="F30" i="53"/>
  <c r="F83" i="53" s="1"/>
  <c r="B121" i="83"/>
  <c r="F35" i="83"/>
  <c r="H35" i="83" s="1"/>
  <c r="C10" i="53"/>
  <c r="C63" i="53" s="1"/>
  <c r="C93" i="81"/>
  <c r="N58" i="22"/>
  <c r="O55" i="22" s="1"/>
  <c r="N56" i="22"/>
  <c r="N57" i="22" s="1"/>
  <c r="B47" i="81"/>
  <c r="B72" i="81"/>
  <c r="B71" i="81"/>
  <c r="B46" i="81"/>
  <c r="F34" i="42"/>
  <c r="C41" i="53"/>
  <c r="C94" i="53" s="1"/>
  <c r="C110" i="83"/>
  <c r="C14" i="53"/>
  <c r="C67" i="53" s="1"/>
  <c r="C97" i="81"/>
  <c r="B48" i="83"/>
  <c r="B76" i="83"/>
  <c r="F11" i="23"/>
  <c r="E11" i="23" s="1"/>
  <c r="B49" i="83"/>
  <c r="B77" i="83"/>
  <c r="B102" i="81"/>
  <c r="F25" i="81"/>
  <c r="H25" i="81" s="1"/>
  <c r="D44" i="84"/>
  <c r="B61" i="81"/>
  <c r="B86" i="81"/>
  <c r="C86" i="81" s="1"/>
  <c r="D86" i="81" s="1"/>
  <c r="E86" i="81" s="1"/>
  <c r="F86" i="81" s="1"/>
  <c r="G86" i="81" s="1"/>
  <c r="H86" i="81" s="1"/>
  <c r="J39" i="48"/>
  <c r="B128" i="55"/>
  <c r="D186" i="55" s="1"/>
  <c r="D241" i="55"/>
  <c r="J149" i="84"/>
  <c r="I180" i="84"/>
  <c r="I181" i="84"/>
  <c r="B117" i="83"/>
  <c r="F30" i="83"/>
  <c r="H30" i="83" s="1"/>
  <c r="B114" i="83"/>
  <c r="F27" i="83"/>
  <c r="H27" i="83" s="1"/>
  <c r="B70" i="83"/>
  <c r="B98" i="83"/>
  <c r="D75" i="81"/>
  <c r="C21" i="72"/>
  <c r="C45" i="72" s="1"/>
  <c r="C9" i="53"/>
  <c r="C62" i="53" s="1"/>
  <c r="C92" i="81"/>
  <c r="C39" i="53"/>
  <c r="C92" i="53" s="1"/>
  <c r="C108" i="83"/>
  <c r="C38" i="22"/>
  <c r="C39" i="22" s="1"/>
  <c r="D38" i="22"/>
  <c r="H38" i="22"/>
  <c r="G38" i="22"/>
  <c r="F38" i="22"/>
  <c r="I38" i="22"/>
  <c r="E38" i="22"/>
  <c r="K37" i="22"/>
  <c r="C40" i="22"/>
  <c r="D37" i="22" s="1"/>
  <c r="L64" i="22"/>
  <c r="M61" i="22" s="1"/>
  <c r="B68" i="83"/>
  <c r="B96" i="83"/>
  <c r="B104" i="81"/>
  <c r="F27" i="81"/>
  <c r="H27" i="81" s="1"/>
  <c r="B105" i="81"/>
  <c r="F28" i="81"/>
  <c r="H28" i="81" s="1"/>
  <c r="C11" i="53"/>
  <c r="C64" i="53" s="1"/>
  <c r="C94" i="81"/>
  <c r="H22" i="22"/>
  <c r="H18" i="22"/>
  <c r="I4" i="22"/>
  <c r="H20" i="22"/>
  <c r="H16" i="22"/>
  <c r="H19" i="22"/>
  <c r="H17" i="22"/>
  <c r="H21" i="22"/>
  <c r="H15" i="22"/>
  <c r="H13" i="22"/>
  <c r="H11" i="22"/>
  <c r="H8" i="22"/>
  <c r="H14" i="22"/>
  <c r="H12" i="22"/>
  <c r="H10" i="22"/>
  <c r="H9" i="22"/>
  <c r="F44" i="84"/>
  <c r="C33" i="53"/>
  <c r="C86" i="53" s="1"/>
  <c r="C102" i="83"/>
  <c r="C37" i="53"/>
  <c r="C90" i="53" s="1"/>
  <c r="C106" i="83"/>
  <c r="B111" i="81"/>
  <c r="B110" i="81"/>
  <c r="F34" i="81"/>
  <c r="H34" i="81" s="1"/>
  <c r="C16" i="53"/>
  <c r="C69" i="53" s="1"/>
  <c r="C99" i="81"/>
  <c r="E173" i="29"/>
  <c r="E158" i="29"/>
  <c r="E143" i="29"/>
  <c r="E128" i="29"/>
  <c r="E35" i="29"/>
  <c r="B67" i="83"/>
  <c r="B95" i="83"/>
  <c r="B120" i="83"/>
  <c r="F34" i="83"/>
  <c r="H34" i="83" s="1"/>
  <c r="J205" i="53"/>
  <c r="J214" i="53"/>
  <c r="J219" i="53"/>
  <c r="J243" i="53"/>
  <c r="J268" i="53"/>
  <c r="J265" i="53"/>
  <c r="J266" i="53"/>
  <c r="J152" i="53"/>
  <c r="J267" i="53"/>
  <c r="C57" i="53"/>
  <c r="C110" i="53" s="1"/>
  <c r="C126" i="83"/>
  <c r="B47" i="83"/>
  <c r="B75" i="83"/>
  <c r="B34" i="69"/>
  <c r="C34" i="69" s="1"/>
  <c r="D34" i="69" s="1"/>
  <c r="E34" i="69" s="1"/>
  <c r="F34" i="69" s="1"/>
  <c r="G34" i="69" s="1"/>
  <c r="H34" i="69" s="1"/>
  <c r="C9" i="68"/>
  <c r="C55" i="53"/>
  <c r="C108" i="53" s="1"/>
  <c r="C124" i="83"/>
  <c r="C50" i="22"/>
  <c r="F50" i="22"/>
  <c r="I50" i="22"/>
  <c r="E50" i="22"/>
  <c r="D50" i="22"/>
  <c r="H50" i="22"/>
  <c r="K49" i="22"/>
  <c r="C52" i="22"/>
  <c r="C65" i="22"/>
  <c r="B13" i="69" s="1"/>
  <c r="G50" i="22"/>
  <c r="B103" i="81"/>
  <c r="F26" i="81"/>
  <c r="H26" i="81" s="1"/>
  <c r="F30" i="81"/>
  <c r="H30" i="81" s="1"/>
  <c r="B107" i="81"/>
  <c r="B73" i="81"/>
  <c r="B48" i="81"/>
  <c r="E44" i="84"/>
  <c r="B69" i="83"/>
  <c r="B97" i="83"/>
  <c r="F33" i="81"/>
  <c r="H33" i="81" s="1"/>
  <c r="B109" i="81"/>
  <c r="C109" i="81" s="1"/>
  <c r="D109" i="81" s="1"/>
  <c r="E109" i="81" s="1"/>
  <c r="F109" i="81" s="1"/>
  <c r="G109" i="81" s="1"/>
  <c r="H109" i="81" s="1"/>
  <c r="B45" i="81"/>
  <c r="B70" i="81"/>
  <c r="A165" i="53"/>
  <c r="A232" i="53" s="1"/>
  <c r="A97" i="53"/>
  <c r="C54" i="53"/>
  <c r="C107" i="53" s="1"/>
  <c r="C123" i="83"/>
  <c r="B119" i="83"/>
  <c r="F33" i="83"/>
  <c r="H33" i="83" s="1"/>
  <c r="C44" i="22"/>
  <c r="C45" i="22" s="1"/>
  <c r="G44" i="22"/>
  <c r="K43" i="22"/>
  <c r="F44" i="22"/>
  <c r="I44" i="22"/>
  <c r="E44" i="22"/>
  <c r="H44" i="22"/>
  <c r="D44" i="22"/>
  <c r="G34" i="42" l="1"/>
  <c r="G35" i="61"/>
  <c r="C46" i="22"/>
  <c r="D43" i="22" s="1"/>
  <c r="D46" i="22" s="1"/>
  <c r="E43" i="22" s="1"/>
  <c r="I66" i="22"/>
  <c r="D39" i="22"/>
  <c r="E39" i="22" s="1"/>
  <c r="F39" i="22" s="1"/>
  <c r="G39" i="22" s="1"/>
  <c r="H39" i="22" s="1"/>
  <c r="I39" i="22" s="1"/>
  <c r="D40" i="22"/>
  <c r="E37" i="22" s="1"/>
  <c r="E40" i="22" s="1"/>
  <c r="F37" i="22" s="1"/>
  <c r="F40" i="22" s="1"/>
  <c r="G37" i="22" s="1"/>
  <c r="G40" i="22" s="1"/>
  <c r="H37" i="22" s="1"/>
  <c r="H40" i="22" s="1"/>
  <c r="I37" i="22" s="1"/>
  <c r="I40" i="22" s="1"/>
  <c r="E21" i="21"/>
  <c r="F11" i="21"/>
  <c r="G158" i="29" s="1"/>
  <c r="D173" i="29"/>
  <c r="E48" i="61"/>
  <c r="B21" i="21"/>
  <c r="I59" i="48"/>
  <c r="D21" i="21"/>
  <c r="F57" i="48"/>
  <c r="F59" i="48" s="1"/>
  <c r="G57" i="48"/>
  <c r="G59" i="48" s="1"/>
  <c r="C173" i="29"/>
  <c r="F48" i="61"/>
  <c r="F35" i="29"/>
  <c r="H48" i="61"/>
  <c r="F128" i="29"/>
  <c r="F143" i="29"/>
  <c r="H35" i="61"/>
  <c r="F158" i="29"/>
  <c r="C158" i="29"/>
  <c r="H59" i="48"/>
  <c r="D128" i="29"/>
  <c r="D143" i="29"/>
  <c r="C143" i="29"/>
  <c r="D158" i="29"/>
  <c r="C128" i="29"/>
  <c r="E149" i="29"/>
  <c r="E179" i="29"/>
  <c r="E134" i="29"/>
  <c r="E164" i="29"/>
  <c r="E23" i="68"/>
  <c r="K44" i="22"/>
  <c r="K45" i="22" s="1"/>
  <c r="B58" i="55"/>
  <c r="B115" i="55" s="1"/>
  <c r="C69" i="83"/>
  <c r="C20" i="53"/>
  <c r="C73" i="53" s="1"/>
  <c r="C103" i="81"/>
  <c r="D176" i="53"/>
  <c r="D240" i="53"/>
  <c r="B34" i="84"/>
  <c r="B62" i="84" s="1"/>
  <c r="C95" i="83"/>
  <c r="D106" i="83"/>
  <c r="D37" i="53"/>
  <c r="D90" i="53" s="1"/>
  <c r="B38" i="55"/>
  <c r="B95" i="55" s="1"/>
  <c r="C49" i="83"/>
  <c r="G218" i="53"/>
  <c r="G151" i="53"/>
  <c r="B44" i="84"/>
  <c r="C18" i="53"/>
  <c r="C71" i="53" s="1"/>
  <c r="C101" i="81"/>
  <c r="D156" i="53"/>
  <c r="D223" i="53"/>
  <c r="C24" i="53"/>
  <c r="C77" i="53" s="1"/>
  <c r="C107" i="81"/>
  <c r="H66" i="22"/>
  <c r="F66" i="22"/>
  <c r="B36" i="55"/>
  <c r="B93" i="55" s="1"/>
  <c r="C47" i="83"/>
  <c r="B56" i="55"/>
  <c r="B113" i="55" s="1"/>
  <c r="C67" i="83"/>
  <c r="B60" i="81"/>
  <c r="B85" i="81"/>
  <c r="D158" i="53"/>
  <c r="D225" i="53"/>
  <c r="B55" i="81"/>
  <c r="B80" i="81"/>
  <c r="B35" i="84"/>
  <c r="B63" i="84" s="1"/>
  <c r="C96" i="83"/>
  <c r="K38" i="22"/>
  <c r="K39" i="22" s="1"/>
  <c r="D108" i="83"/>
  <c r="D39" i="53"/>
  <c r="D92" i="53" s="1"/>
  <c r="B58" i="83"/>
  <c r="B86" i="83"/>
  <c r="J180" i="84"/>
  <c r="J181" i="84"/>
  <c r="B52" i="81"/>
  <c r="B77" i="81"/>
  <c r="B37" i="55"/>
  <c r="B94" i="55" s="1"/>
  <c r="C48" i="83"/>
  <c r="D162" i="53"/>
  <c r="D229" i="53"/>
  <c r="B18" i="72"/>
  <c r="B42" i="72" s="1"/>
  <c r="C72" i="81"/>
  <c r="D131" i="53"/>
  <c r="D198" i="53"/>
  <c r="G113" i="81"/>
  <c r="G30" i="53"/>
  <c r="G83" i="53" s="1"/>
  <c r="C29" i="53"/>
  <c r="C82" i="53" s="1"/>
  <c r="C112" i="81"/>
  <c r="B35" i="55"/>
  <c r="C46" i="83"/>
  <c r="B15" i="72"/>
  <c r="B39" i="72" s="1"/>
  <c r="C69" i="81"/>
  <c r="B58" i="81"/>
  <c r="B83" i="81"/>
  <c r="D109" i="83"/>
  <c r="D40" i="53"/>
  <c r="D93" i="53" s="1"/>
  <c r="B19" i="84"/>
  <c r="B50" i="84" s="1"/>
  <c r="C80" i="83"/>
  <c r="D107" i="83"/>
  <c r="D38" i="53"/>
  <c r="D91" i="53" s="1"/>
  <c r="B62" i="83"/>
  <c r="B90" i="83"/>
  <c r="H38" i="61"/>
  <c r="E10" i="21"/>
  <c r="D133" i="53"/>
  <c r="D200" i="53"/>
  <c r="D155" i="53"/>
  <c r="D222" i="53"/>
  <c r="C43" i="53"/>
  <c r="C96" i="53" s="1"/>
  <c r="C112" i="83"/>
  <c r="C47" i="53"/>
  <c r="C100" i="53" s="1"/>
  <c r="C116" i="83"/>
  <c r="B94" i="83"/>
  <c r="B66" i="83"/>
  <c r="C66" i="83" s="1"/>
  <c r="D66" i="83" s="1"/>
  <c r="E66" i="83" s="1"/>
  <c r="F66" i="83" s="1"/>
  <c r="G66" i="83" s="1"/>
  <c r="H66" i="83" s="1"/>
  <c r="D98" i="81"/>
  <c r="D15" i="53"/>
  <c r="D68" i="53" s="1"/>
  <c r="B18" i="84"/>
  <c r="B49" i="84" s="1"/>
  <c r="C79" i="83"/>
  <c r="B14" i="55"/>
  <c r="B71" i="55" s="1"/>
  <c r="C45" i="81"/>
  <c r="B19" i="72"/>
  <c r="B43" i="72" s="1"/>
  <c r="C73" i="81"/>
  <c r="K50" i="22"/>
  <c r="K65" i="22"/>
  <c r="B14" i="84"/>
  <c r="B45" i="84" s="1"/>
  <c r="C75" i="83"/>
  <c r="D137" i="53"/>
  <c r="D204" i="53"/>
  <c r="D130" i="53"/>
  <c r="D197" i="53"/>
  <c r="C48" i="53"/>
  <c r="C101" i="53" s="1"/>
  <c r="C117" i="83"/>
  <c r="D110" i="83"/>
  <c r="D41" i="53"/>
  <c r="D94" i="53" s="1"/>
  <c r="O56" i="22"/>
  <c r="O57" i="22" s="1"/>
  <c r="B62" i="81"/>
  <c r="B87" i="81"/>
  <c r="C87" i="81" s="1"/>
  <c r="D87" i="81" s="1"/>
  <c r="E87" i="81" s="1"/>
  <c r="F87" i="81" s="1"/>
  <c r="G87" i="81" s="1"/>
  <c r="H87" i="81" s="1"/>
  <c r="D157" i="53"/>
  <c r="D224" i="53"/>
  <c r="B11" i="55"/>
  <c r="C42" i="81"/>
  <c r="E50" i="81"/>
  <c r="D19" i="55"/>
  <c r="D76" i="55" s="1"/>
  <c r="D95" i="81"/>
  <c r="D12" i="53"/>
  <c r="D65" i="53" s="1"/>
  <c r="D103" i="83"/>
  <c r="D34" i="53"/>
  <c r="D87" i="53" s="1"/>
  <c r="B42" i="55"/>
  <c r="B99" i="55" s="1"/>
  <c r="C53" i="83"/>
  <c r="G66" i="22"/>
  <c r="D45" i="22"/>
  <c r="E45" i="22" s="1"/>
  <c r="F45" i="22" s="1"/>
  <c r="G45" i="22" s="1"/>
  <c r="H45" i="22" s="1"/>
  <c r="I45" i="22" s="1"/>
  <c r="C50" i="53"/>
  <c r="C103" i="53" s="1"/>
  <c r="C119" i="83"/>
  <c r="B59" i="81"/>
  <c r="B84" i="81"/>
  <c r="B57" i="81"/>
  <c r="B82" i="81"/>
  <c r="D66" i="22"/>
  <c r="C66" i="22"/>
  <c r="C51" i="22"/>
  <c r="D126" i="83"/>
  <c r="D57" i="53"/>
  <c r="D110" i="53" s="1"/>
  <c r="B92" i="83"/>
  <c r="B64" i="83"/>
  <c r="C64" i="83" s="1"/>
  <c r="D64" i="83" s="1"/>
  <c r="E64" i="83" s="1"/>
  <c r="F64" i="83" s="1"/>
  <c r="G64" i="83" s="1"/>
  <c r="H64" i="83" s="1"/>
  <c r="C27" i="53"/>
  <c r="C80" i="53" s="1"/>
  <c r="C110" i="81"/>
  <c r="D102" i="83"/>
  <c r="D33" i="53"/>
  <c r="D86" i="53" s="1"/>
  <c r="C22" i="53"/>
  <c r="C75" i="53" s="1"/>
  <c r="C105" i="81"/>
  <c r="B57" i="55"/>
  <c r="B114" i="55" s="1"/>
  <c r="C68" i="83"/>
  <c r="D160" i="53"/>
  <c r="D227" i="53"/>
  <c r="E75" i="81"/>
  <c r="D21" i="72"/>
  <c r="D45" i="72" s="1"/>
  <c r="C45" i="53"/>
  <c r="C98" i="53" s="1"/>
  <c r="C114" i="83"/>
  <c r="B30" i="55"/>
  <c r="B87" i="55" s="1"/>
  <c r="C61" i="81"/>
  <c r="C19" i="53"/>
  <c r="C72" i="53" s="1"/>
  <c r="C102" i="81"/>
  <c r="D97" i="81"/>
  <c r="D14" i="53"/>
  <c r="D67" i="53" s="1"/>
  <c r="D20" i="21"/>
  <c r="G51" i="61"/>
  <c r="F45" i="42"/>
  <c r="F47" i="42" s="1"/>
  <c r="B16" i="55"/>
  <c r="B73" i="55" s="1"/>
  <c r="C47" i="81"/>
  <c r="B65" i="83"/>
  <c r="C65" i="83" s="1"/>
  <c r="D65" i="83" s="1"/>
  <c r="E65" i="83" s="1"/>
  <c r="F65" i="83" s="1"/>
  <c r="G65" i="83" s="1"/>
  <c r="H65" i="83" s="1"/>
  <c r="B93" i="83"/>
  <c r="B20" i="72"/>
  <c r="B44" i="72" s="1"/>
  <c r="C74" i="81"/>
  <c r="B17" i="84"/>
  <c r="B48" i="84" s="1"/>
  <c r="C78" i="83"/>
  <c r="B13" i="55"/>
  <c r="B70" i="55" s="1"/>
  <c r="C44" i="81"/>
  <c r="C25" i="53"/>
  <c r="C78" i="53" s="1"/>
  <c r="C108" i="81"/>
  <c r="D161" i="53"/>
  <c r="D228" i="53"/>
  <c r="B41" i="55"/>
  <c r="B98" i="55" s="1"/>
  <c r="C52" i="83"/>
  <c r="D159" i="53"/>
  <c r="D226" i="53"/>
  <c r="C49" i="53"/>
  <c r="C102" i="53" s="1"/>
  <c r="C118" i="83"/>
  <c r="D125" i="83"/>
  <c r="D56" i="53"/>
  <c r="D109" i="53" s="1"/>
  <c r="B56" i="81"/>
  <c r="B81" i="81"/>
  <c r="D96" i="81"/>
  <c r="D13" i="53"/>
  <c r="D66" i="53" s="1"/>
  <c r="B59" i="83"/>
  <c r="B87" i="83"/>
  <c r="E157" i="29"/>
  <c r="E142" i="29"/>
  <c r="E127" i="29"/>
  <c r="E172" i="29"/>
  <c r="E34" i="29"/>
  <c r="B57" i="83"/>
  <c r="B85" i="83"/>
  <c r="B21" i="84"/>
  <c r="B52" i="84" s="1"/>
  <c r="C82" i="83"/>
  <c r="C53" i="53"/>
  <c r="C106" i="53" s="1"/>
  <c r="D174" i="53" s="1"/>
  <c r="C122" i="83"/>
  <c r="D136" i="53"/>
  <c r="D203" i="53"/>
  <c r="B40" i="55"/>
  <c r="B97" i="55" s="1"/>
  <c r="C51" i="83"/>
  <c r="H21" i="21"/>
  <c r="K48" i="61"/>
  <c r="K57" i="48"/>
  <c r="D175" i="53"/>
  <c r="D239" i="53"/>
  <c r="H42" i="21"/>
  <c r="H14" i="69"/>
  <c r="I19" i="22"/>
  <c r="I21" i="22"/>
  <c r="I17" i="22"/>
  <c r="I20" i="22"/>
  <c r="I18" i="22"/>
  <c r="I16" i="22"/>
  <c r="J4" i="22"/>
  <c r="I22" i="22"/>
  <c r="I14" i="22"/>
  <c r="I12" i="22"/>
  <c r="I10" i="22"/>
  <c r="I9" i="22"/>
  <c r="I11" i="22"/>
  <c r="I8" i="22"/>
  <c r="I15" i="22"/>
  <c r="I13" i="22"/>
  <c r="D132" i="53"/>
  <c r="D199" i="53"/>
  <c r="C21" i="53"/>
  <c r="C74" i="53" s="1"/>
  <c r="C104" i="81"/>
  <c r="B59" i="55"/>
  <c r="B116" i="55" s="1"/>
  <c r="C70" i="83"/>
  <c r="J35" i="61"/>
  <c r="G11" i="21"/>
  <c r="B15" i="84"/>
  <c r="B46" i="84" s="1"/>
  <c r="C76" i="83"/>
  <c r="B17" i="72"/>
  <c r="B41" i="72" s="1"/>
  <c r="C71" i="81"/>
  <c r="D93" i="81"/>
  <c r="D10" i="53"/>
  <c r="D63" i="53" s="1"/>
  <c r="C42" i="53"/>
  <c r="C95" i="53" s="1"/>
  <c r="C111" i="83"/>
  <c r="H28" i="42"/>
  <c r="H29" i="42"/>
  <c r="H27" i="42"/>
  <c r="H37" i="42"/>
  <c r="H43" i="42" s="1"/>
  <c r="F30" i="21" s="1"/>
  <c r="I17" i="42"/>
  <c r="H21" i="42"/>
  <c r="H23" i="42" s="1"/>
  <c r="B56" i="83"/>
  <c r="B84" i="83"/>
  <c r="B60" i="83"/>
  <c r="B88" i="83"/>
  <c r="B12" i="55"/>
  <c r="B69" i="55" s="1"/>
  <c r="C43" i="81"/>
  <c r="B63" i="83"/>
  <c r="B91" i="83"/>
  <c r="E46" i="22"/>
  <c r="F43" i="22" s="1"/>
  <c r="F46" i="22" s="1"/>
  <c r="G43" i="22" s="1"/>
  <c r="G46" i="22" s="1"/>
  <c r="H43" i="22" s="1"/>
  <c r="H46" i="22" s="1"/>
  <c r="I43" i="22" s="1"/>
  <c r="I46" i="22" s="1"/>
  <c r="D54" i="53"/>
  <c r="D107" i="53" s="1"/>
  <c r="D123" i="83"/>
  <c r="B16" i="72"/>
  <c r="B40" i="72" s="1"/>
  <c r="C70" i="81"/>
  <c r="B36" i="84"/>
  <c r="B64" i="84" s="1"/>
  <c r="C97" i="83"/>
  <c r="B17" i="55"/>
  <c r="B74" i="55" s="1"/>
  <c r="C48" i="81"/>
  <c r="B53" i="81"/>
  <c r="B78" i="81"/>
  <c r="D49" i="22"/>
  <c r="C68" i="22"/>
  <c r="E66" i="22"/>
  <c r="D124" i="83"/>
  <c r="D55" i="53"/>
  <c r="D108" i="53" s="1"/>
  <c r="D178" i="53"/>
  <c r="D242" i="53"/>
  <c r="J273" i="53"/>
  <c r="H32" i="21" s="1"/>
  <c r="C51" i="53"/>
  <c r="C104" i="53" s="1"/>
  <c r="D172" i="53" s="1"/>
  <c r="C120" i="83"/>
  <c r="D99" i="81"/>
  <c r="D16" i="53"/>
  <c r="D69" i="53" s="1"/>
  <c r="C28" i="53"/>
  <c r="C81" i="53" s="1"/>
  <c r="C111" i="81"/>
  <c r="D154" i="53"/>
  <c r="D221" i="53"/>
  <c r="H23" i="22"/>
  <c r="E35" i="21" s="1"/>
  <c r="E36" i="21" s="1"/>
  <c r="D94" i="81"/>
  <c r="D11" i="53"/>
  <c r="D64" i="53" s="1"/>
  <c r="B54" i="81"/>
  <c r="B79" i="81"/>
  <c r="M62" i="22"/>
  <c r="M63" i="22" s="1"/>
  <c r="D92" i="81"/>
  <c r="D9" i="53"/>
  <c r="D62" i="53" s="1"/>
  <c r="B37" i="84"/>
  <c r="B65" i="84" s="1"/>
  <c r="C98" i="83"/>
  <c r="B61" i="83"/>
  <c r="B89" i="83"/>
  <c r="I185" i="84"/>
  <c r="G33" i="21" s="1"/>
  <c r="B16" i="84"/>
  <c r="B47" i="84" s="1"/>
  <c r="C77" i="83"/>
  <c r="G11" i="23"/>
  <c r="C12" i="23" s="1"/>
  <c r="D135" i="53"/>
  <c r="D202" i="53"/>
  <c r="B15" i="55"/>
  <c r="B72" i="55" s="1"/>
  <c r="C46" i="81"/>
  <c r="C52" i="53"/>
  <c r="C105" i="53" s="1"/>
  <c r="D173" i="53" s="1"/>
  <c r="C121" i="83"/>
  <c r="B18" i="55"/>
  <c r="B75" i="55" s="1"/>
  <c r="C49" i="81"/>
  <c r="B39" i="55"/>
  <c r="B96" i="55" s="1"/>
  <c r="C50" i="83"/>
  <c r="B51" i="81"/>
  <c r="B76" i="81"/>
  <c r="D105" i="83"/>
  <c r="D36" i="53"/>
  <c r="D89" i="53" s="1"/>
  <c r="B13" i="72"/>
  <c r="C67" i="81"/>
  <c r="B55" i="83"/>
  <c r="B83" i="83"/>
  <c r="D104" i="83"/>
  <c r="D35" i="53"/>
  <c r="D88" i="53" s="1"/>
  <c r="E241" i="55"/>
  <c r="C128" i="55"/>
  <c r="E186" i="55" s="1"/>
  <c r="H51" i="61"/>
  <c r="E20" i="21"/>
  <c r="G45" i="42"/>
  <c r="G47" i="42" s="1"/>
  <c r="D177" i="53"/>
  <c r="D241" i="53"/>
  <c r="C23" i="53"/>
  <c r="C76" i="53" s="1"/>
  <c r="C106" i="81"/>
  <c r="D134" i="53"/>
  <c r="D201" i="53"/>
  <c r="C46" i="53"/>
  <c r="C99" i="53" s="1"/>
  <c r="C115" i="83"/>
  <c r="C44" i="53"/>
  <c r="C97" i="53" s="1"/>
  <c r="C113" i="83"/>
  <c r="B43" i="55"/>
  <c r="B100" i="55" s="1"/>
  <c r="C54" i="83"/>
  <c r="B14" i="72"/>
  <c r="B38" i="72" s="1"/>
  <c r="C68" i="81"/>
  <c r="B20" i="84"/>
  <c r="B51" i="84" s="1"/>
  <c r="C81" i="83"/>
  <c r="J48" i="61"/>
  <c r="G21" i="21"/>
  <c r="J57" i="48"/>
  <c r="J59" i="48" s="1"/>
  <c r="K39" i="48"/>
  <c r="G143" i="29" l="1"/>
  <c r="G128" i="29"/>
  <c r="G173" i="29"/>
  <c r="G35" i="29"/>
  <c r="I23" i="22"/>
  <c r="F35" i="21" s="1"/>
  <c r="F36" i="21" s="1"/>
  <c r="F134" i="29"/>
  <c r="F164" i="29"/>
  <c r="F179" i="29"/>
  <c r="F149" i="29"/>
  <c r="F23" i="68"/>
  <c r="D54" i="83"/>
  <c r="C43" i="55"/>
  <c r="C100" i="55" s="1"/>
  <c r="B44" i="55"/>
  <c r="B101" i="55" s="1"/>
  <c r="C55" i="83"/>
  <c r="D77" i="83"/>
  <c r="C16" i="84"/>
  <c r="C47" i="84" s="1"/>
  <c r="B50" i="55"/>
  <c r="B107" i="55" s="1"/>
  <c r="C61" i="83"/>
  <c r="E92" i="81"/>
  <c r="E9" i="53"/>
  <c r="E62" i="53" s="1"/>
  <c r="B23" i="55"/>
  <c r="B80" i="55" s="1"/>
  <c r="C54" i="81"/>
  <c r="E137" i="53"/>
  <c r="E204" i="53"/>
  <c r="E124" i="83"/>
  <c r="E55" i="53"/>
  <c r="E108" i="53" s="1"/>
  <c r="B24" i="72"/>
  <c r="B48" i="72" s="1"/>
  <c r="C78" i="81"/>
  <c r="D97" i="83"/>
  <c r="C36" i="84"/>
  <c r="C64" i="84" s="1"/>
  <c r="E123" i="83"/>
  <c r="E54" i="53"/>
  <c r="E107" i="53" s="1"/>
  <c r="B52" i="55"/>
  <c r="B109" i="55" s="1"/>
  <c r="C63" i="83"/>
  <c r="B49" i="55"/>
  <c r="B106" i="55" s="1"/>
  <c r="C60" i="83"/>
  <c r="J17" i="42"/>
  <c r="I27" i="42"/>
  <c r="I28" i="42"/>
  <c r="I29" i="42"/>
  <c r="I37" i="42"/>
  <c r="I43" i="42" s="1"/>
  <c r="G30" i="21" s="1"/>
  <c r="I21" i="42"/>
  <c r="I23" i="42" s="1"/>
  <c r="E93" i="81"/>
  <c r="E10" i="53"/>
  <c r="E63" i="53" s="1"/>
  <c r="D70" i="83"/>
  <c r="C59" i="55"/>
  <c r="C116" i="55" s="1"/>
  <c r="B26" i="84"/>
  <c r="B57" i="84" s="1"/>
  <c r="C87" i="83"/>
  <c r="B27" i="72"/>
  <c r="B51" i="72" s="1"/>
  <c r="C81" i="81"/>
  <c r="D235" i="55"/>
  <c r="B122" i="55"/>
  <c r="D180" i="55" s="1"/>
  <c r="B125" i="55"/>
  <c r="D183" i="55" s="1"/>
  <c r="D238" i="55"/>
  <c r="E202" i="53"/>
  <c r="E135" i="53"/>
  <c r="D61" i="81"/>
  <c r="C30" i="55"/>
  <c r="C87" i="55" s="1"/>
  <c r="D68" i="83"/>
  <c r="C57" i="55"/>
  <c r="C114" i="55" s="1"/>
  <c r="E221" i="53"/>
  <c r="E154" i="53"/>
  <c r="D51" i="22"/>
  <c r="C67" i="22"/>
  <c r="B28" i="72"/>
  <c r="B52" i="72" s="1"/>
  <c r="C82" i="81"/>
  <c r="D119" i="83"/>
  <c r="D50" i="53"/>
  <c r="D103" i="53" s="1"/>
  <c r="D53" i="83"/>
  <c r="C42" i="55"/>
  <c r="C99" i="55" s="1"/>
  <c r="E133" i="53"/>
  <c r="E200" i="53"/>
  <c r="D42" i="81"/>
  <c r="C11" i="55"/>
  <c r="E229" i="53"/>
  <c r="E162" i="53"/>
  <c r="C119" i="53"/>
  <c r="K66" i="22"/>
  <c r="B97" i="22" s="1"/>
  <c r="K51" i="22"/>
  <c r="D45" i="81"/>
  <c r="C14" i="55"/>
  <c r="C71" i="55" s="1"/>
  <c r="E203" i="53"/>
  <c r="E136" i="53"/>
  <c r="D116" i="83"/>
  <c r="D47" i="53"/>
  <c r="D100" i="53" s="1"/>
  <c r="B51" i="55"/>
  <c r="B108" i="55" s="1"/>
  <c r="C62" i="83"/>
  <c r="B27" i="55"/>
  <c r="B84" i="55" s="1"/>
  <c r="C58" i="81"/>
  <c r="B92" i="55"/>
  <c r="H113" i="81"/>
  <c r="I30" i="53" s="1"/>
  <c r="I83" i="53" s="1"/>
  <c r="H30" i="53"/>
  <c r="H83" i="53" s="1"/>
  <c r="B21" i="55"/>
  <c r="B78" i="55" s="1"/>
  <c r="C52" i="81"/>
  <c r="E108" i="83"/>
  <c r="E39" i="53"/>
  <c r="E92" i="53" s="1"/>
  <c r="B165" i="55"/>
  <c r="D224" i="55" s="1"/>
  <c r="D275" i="55"/>
  <c r="G42" i="21"/>
  <c r="G14" i="69"/>
  <c r="B147" i="55"/>
  <c r="D206" i="55" s="1"/>
  <c r="D260" i="55"/>
  <c r="B126" i="84"/>
  <c r="B143" i="84" s="1"/>
  <c r="D156" i="84" s="1"/>
  <c r="B125" i="84"/>
  <c r="B142" i="84" s="1"/>
  <c r="D155" i="84" s="1"/>
  <c r="D163" i="84"/>
  <c r="D164" i="84"/>
  <c r="B124" i="84"/>
  <c r="B141" i="84" s="1"/>
  <c r="D167" i="84"/>
  <c r="D141" i="53"/>
  <c r="D208" i="53"/>
  <c r="D106" i="81"/>
  <c r="D23" i="53"/>
  <c r="D76" i="53" s="1"/>
  <c r="E105" i="83"/>
  <c r="E36" i="53"/>
  <c r="E89" i="53" s="1"/>
  <c r="D167" i="53"/>
  <c r="D234" i="53"/>
  <c r="D67" i="81"/>
  <c r="C13" i="72"/>
  <c r="B22" i="72"/>
  <c r="B46" i="72" s="1"/>
  <c r="C76" i="81"/>
  <c r="D46" i="81"/>
  <c r="C15" i="55"/>
  <c r="C72" i="55" s="1"/>
  <c r="D98" i="83"/>
  <c r="C37" i="84"/>
  <c r="C65" i="84" s="1"/>
  <c r="E199" i="53"/>
  <c r="E132" i="53"/>
  <c r="E99" i="81"/>
  <c r="E16" i="53"/>
  <c r="E69" i="53" s="1"/>
  <c r="D42" i="21"/>
  <c r="D14" i="69"/>
  <c r="B22" i="55"/>
  <c r="B79" i="55" s="1"/>
  <c r="C53" i="81"/>
  <c r="E239" i="53"/>
  <c r="E175" i="53"/>
  <c r="C12" i="55"/>
  <c r="C69" i="55" s="1"/>
  <c r="D43" i="81"/>
  <c r="B23" i="84"/>
  <c r="B54" i="84" s="1"/>
  <c r="C84" i="83"/>
  <c r="D111" i="83"/>
  <c r="D42" i="53"/>
  <c r="D95" i="53" s="1"/>
  <c r="C17" i="72"/>
  <c r="C41" i="72" s="1"/>
  <c r="D71" i="81"/>
  <c r="B168" i="55"/>
  <c r="D227" i="55" s="1"/>
  <c r="D278" i="55"/>
  <c r="D51" i="83"/>
  <c r="C40" i="55"/>
  <c r="C97" i="55" s="1"/>
  <c r="D53" i="53"/>
  <c r="D106" i="53" s="1"/>
  <c r="E174" i="53" s="1"/>
  <c r="D122" i="83"/>
  <c r="B24" i="84"/>
  <c r="B55" i="84" s="1"/>
  <c r="C85" i="83"/>
  <c r="B48" i="55"/>
  <c r="B105" i="55" s="1"/>
  <c r="C59" i="83"/>
  <c r="B25" i="55"/>
  <c r="B82" i="55" s="1"/>
  <c r="C56" i="81"/>
  <c r="D118" i="83"/>
  <c r="D49" i="53"/>
  <c r="D102" i="53" s="1"/>
  <c r="D52" i="83"/>
  <c r="C41" i="55"/>
  <c r="C98" i="55" s="1"/>
  <c r="D108" i="81"/>
  <c r="D25" i="53"/>
  <c r="D78" i="53" s="1"/>
  <c r="D78" i="83"/>
  <c r="C17" i="84"/>
  <c r="C48" i="84" s="1"/>
  <c r="B32" i="84"/>
  <c r="C93" i="83"/>
  <c r="E97" i="81"/>
  <c r="E14" i="53"/>
  <c r="E67" i="53" s="1"/>
  <c r="B139" i="55"/>
  <c r="D197" i="55" s="1"/>
  <c r="D252" i="55"/>
  <c r="F75" i="81"/>
  <c r="E21" i="72"/>
  <c r="E45" i="72" s="1"/>
  <c r="B166" i="55"/>
  <c r="D225" i="55" s="1"/>
  <c r="D276" i="55"/>
  <c r="E102" i="83"/>
  <c r="E33" i="53"/>
  <c r="E86" i="53" s="1"/>
  <c r="B31" i="84"/>
  <c r="C92" i="83"/>
  <c r="B42" i="21"/>
  <c r="B14" i="69"/>
  <c r="B15" i="69" s="1"/>
  <c r="B26" i="55"/>
  <c r="B83" i="55" s="1"/>
  <c r="C57" i="81"/>
  <c r="D171" i="53"/>
  <c r="D238" i="53"/>
  <c r="D264" i="55"/>
  <c r="B151" i="55"/>
  <c r="D210" i="55" s="1"/>
  <c r="E95" i="81"/>
  <c r="E12" i="53"/>
  <c r="E65" i="53" s="1"/>
  <c r="B68" i="55"/>
  <c r="B31" i="55"/>
  <c r="B88" i="55" s="1"/>
  <c r="C62" i="81"/>
  <c r="E110" i="83"/>
  <c r="E41" i="53"/>
  <c r="E94" i="53" s="1"/>
  <c r="C116" i="53"/>
  <c r="D75" i="83"/>
  <c r="C14" i="84"/>
  <c r="K52" i="22"/>
  <c r="D236" i="55"/>
  <c r="B123" i="55"/>
  <c r="D181" i="55" s="1"/>
  <c r="E98" i="81"/>
  <c r="E15" i="53"/>
  <c r="E68" i="53" s="1"/>
  <c r="D168" i="53"/>
  <c r="D235" i="53"/>
  <c r="F172" i="29"/>
  <c r="F157" i="29"/>
  <c r="F142" i="29"/>
  <c r="F127" i="29"/>
  <c r="F34" i="29"/>
  <c r="E226" i="53"/>
  <c r="E159" i="53"/>
  <c r="E161" i="53"/>
  <c r="E228" i="53"/>
  <c r="D69" i="81"/>
  <c r="C15" i="72"/>
  <c r="C39" i="72" s="1"/>
  <c r="D112" i="81"/>
  <c r="D29" i="53"/>
  <c r="D82" i="53" s="1"/>
  <c r="C18" i="72"/>
  <c r="C42" i="72" s="1"/>
  <c r="D72" i="81"/>
  <c r="D48" i="83"/>
  <c r="C37" i="55"/>
  <c r="C94" i="55" s="1"/>
  <c r="B25" i="84"/>
  <c r="B56" i="84" s="1"/>
  <c r="C86" i="83"/>
  <c r="B26" i="72"/>
  <c r="B50" i="72" s="1"/>
  <c r="C80" i="81"/>
  <c r="B31" i="72"/>
  <c r="B55" i="72" s="1"/>
  <c r="C85" i="81"/>
  <c r="D47" i="83"/>
  <c r="C36" i="55"/>
  <c r="C93" i="55" s="1"/>
  <c r="D107" i="81"/>
  <c r="D24" i="53"/>
  <c r="D77" i="53" s="1"/>
  <c r="D101" i="81"/>
  <c r="D18" i="53"/>
  <c r="D71" i="53" s="1"/>
  <c r="E225" i="53"/>
  <c r="E158" i="53"/>
  <c r="D69" i="83"/>
  <c r="C58" i="55"/>
  <c r="C115" i="55" s="1"/>
  <c r="D81" i="83"/>
  <c r="C20" i="84"/>
  <c r="C51" i="84" s="1"/>
  <c r="D261" i="55"/>
  <c r="B148" i="55"/>
  <c r="D207" i="55" s="1"/>
  <c r="B152" i="55"/>
  <c r="D211" i="55" s="1"/>
  <c r="D265" i="55"/>
  <c r="D144" i="53"/>
  <c r="D211" i="53"/>
  <c r="E156" i="53"/>
  <c r="E223" i="53"/>
  <c r="D49" i="81"/>
  <c r="C18" i="55"/>
  <c r="C75" i="55" s="1"/>
  <c r="D12" i="23"/>
  <c r="D68" i="81"/>
  <c r="C14" i="72"/>
  <c r="C38" i="72" s="1"/>
  <c r="D113" i="83"/>
  <c r="D44" i="53"/>
  <c r="D97" i="53" s="1"/>
  <c r="E104" i="83"/>
  <c r="E35" i="53"/>
  <c r="E88" i="53" s="1"/>
  <c r="B37" i="72"/>
  <c r="B20" i="55"/>
  <c r="B77" i="55" s="1"/>
  <c r="C51" i="81"/>
  <c r="B127" i="55"/>
  <c r="D185" i="55" s="1"/>
  <c r="D240" i="55"/>
  <c r="B124" i="55"/>
  <c r="D182" i="55" s="1"/>
  <c r="D237" i="55"/>
  <c r="M64" i="22"/>
  <c r="N61" i="22" s="1"/>
  <c r="E94" i="81"/>
  <c r="E11" i="53"/>
  <c r="E64" i="53" s="1"/>
  <c r="D111" i="81"/>
  <c r="D28" i="53"/>
  <c r="D81" i="53" s="1"/>
  <c r="D51" i="53"/>
  <c r="D104" i="53" s="1"/>
  <c r="E172" i="53" s="1"/>
  <c r="D120" i="83"/>
  <c r="C17" i="55"/>
  <c r="C74" i="55" s="1"/>
  <c r="D48" i="81"/>
  <c r="D70" i="81"/>
  <c r="C16" i="72"/>
  <c r="C40" i="72" s="1"/>
  <c r="B121" i="55"/>
  <c r="D179" i="55" s="1"/>
  <c r="D234" i="55"/>
  <c r="B45" i="55"/>
  <c r="B102" i="55" s="1"/>
  <c r="C56" i="83"/>
  <c r="H34" i="42"/>
  <c r="D163" i="53"/>
  <c r="D230" i="53"/>
  <c r="H173" i="29"/>
  <c r="H158" i="29"/>
  <c r="H143" i="29"/>
  <c r="H128" i="29"/>
  <c r="H35" i="29"/>
  <c r="D104" i="81"/>
  <c r="D21" i="53"/>
  <c r="D74" i="53" s="1"/>
  <c r="B149" i="55"/>
  <c r="D208" i="55" s="1"/>
  <c r="D262" i="55"/>
  <c r="B46" i="55"/>
  <c r="B103" i="55" s="1"/>
  <c r="C57" i="83"/>
  <c r="E134" i="53"/>
  <c r="E201" i="53"/>
  <c r="E241" i="53"/>
  <c r="E177" i="53"/>
  <c r="D170" i="53"/>
  <c r="D237" i="53"/>
  <c r="D263" i="55"/>
  <c r="B150" i="55"/>
  <c r="D209" i="55" s="1"/>
  <c r="D213" i="53"/>
  <c r="D146" i="53"/>
  <c r="D102" i="81"/>
  <c r="D19" i="53"/>
  <c r="D72" i="53" s="1"/>
  <c r="D114" i="83"/>
  <c r="D45" i="53"/>
  <c r="D98" i="53" s="1"/>
  <c r="D105" i="81"/>
  <c r="D22" i="53"/>
  <c r="D75" i="53" s="1"/>
  <c r="D110" i="81"/>
  <c r="D27" i="53"/>
  <c r="D80" i="53" s="1"/>
  <c r="E242" i="53"/>
  <c r="E178" i="53"/>
  <c r="C42" i="21"/>
  <c r="C14" i="69"/>
  <c r="B30" i="72"/>
  <c r="B54" i="72" s="1"/>
  <c r="C84" i="81"/>
  <c r="E222" i="53"/>
  <c r="E155" i="53"/>
  <c r="F241" i="55"/>
  <c r="D128" i="55"/>
  <c r="F186" i="55" s="1"/>
  <c r="O58" i="22"/>
  <c r="P55" i="22" s="1"/>
  <c r="D48" i="53"/>
  <c r="D101" i="53" s="1"/>
  <c r="D117" i="83"/>
  <c r="C118" i="53"/>
  <c r="C114" i="53"/>
  <c r="D73" i="81"/>
  <c r="C19" i="72"/>
  <c r="C43" i="72" s="1"/>
  <c r="D79" i="83"/>
  <c r="C18" i="84"/>
  <c r="C49" i="84" s="1"/>
  <c r="D112" i="83"/>
  <c r="D43" i="53"/>
  <c r="D96" i="53" s="1"/>
  <c r="E107" i="83"/>
  <c r="E38" i="53"/>
  <c r="E91" i="53" s="1"/>
  <c r="E40" i="53"/>
  <c r="E93" i="53" s="1"/>
  <c r="E109" i="83"/>
  <c r="D150" i="53"/>
  <c r="D217" i="53"/>
  <c r="B78" i="72"/>
  <c r="D154" i="72"/>
  <c r="B79" i="72"/>
  <c r="B146" i="55"/>
  <c r="D205" i="55" s="1"/>
  <c r="D259" i="55"/>
  <c r="J185" i="84"/>
  <c r="H33" i="21" s="1"/>
  <c r="B47" i="55"/>
  <c r="B104" i="55" s="1"/>
  <c r="C58" i="83"/>
  <c r="K40" i="22"/>
  <c r="L37" i="22" s="1"/>
  <c r="B24" i="55"/>
  <c r="B81" i="55" s="1"/>
  <c r="C55" i="81"/>
  <c r="B29" i="55"/>
  <c r="B86" i="55" s="1"/>
  <c r="C60" i="81"/>
  <c r="B145" i="55"/>
  <c r="D204" i="55" s="1"/>
  <c r="D258" i="55"/>
  <c r="D145" i="53"/>
  <c r="D212" i="53"/>
  <c r="D139" i="53"/>
  <c r="D206" i="53"/>
  <c r="E106" i="83"/>
  <c r="E37" i="53"/>
  <c r="E90" i="53" s="1"/>
  <c r="D277" i="55"/>
  <c r="B167" i="55"/>
  <c r="D226" i="55" s="1"/>
  <c r="K35" i="61"/>
  <c r="H11" i="21"/>
  <c r="K59" i="48"/>
  <c r="D115" i="83"/>
  <c r="D46" i="53"/>
  <c r="D99" i="53" s="1"/>
  <c r="D153" i="72"/>
  <c r="B63" i="72"/>
  <c r="B64" i="72"/>
  <c r="D165" i="53"/>
  <c r="D232" i="53"/>
  <c r="B22" i="84"/>
  <c r="B53" i="84" s="1"/>
  <c r="C83" i="83"/>
  <c r="E224" i="53"/>
  <c r="E157" i="53"/>
  <c r="D50" i="83"/>
  <c r="C39" i="55"/>
  <c r="C96" i="55" s="1"/>
  <c r="D52" i="53"/>
  <c r="D105" i="53" s="1"/>
  <c r="E173" i="53" s="1"/>
  <c r="D121" i="83"/>
  <c r="B28" i="84"/>
  <c r="B59" i="84" s="1"/>
  <c r="C89" i="83"/>
  <c r="E130" i="53"/>
  <c r="E197" i="53"/>
  <c r="B25" i="72"/>
  <c r="B49" i="72" s="1"/>
  <c r="C79" i="81"/>
  <c r="D149" i="53"/>
  <c r="D216" i="53"/>
  <c r="E240" i="53"/>
  <c r="E176" i="53"/>
  <c r="D65" i="22"/>
  <c r="C13" i="69" s="1"/>
  <c r="D52" i="22"/>
  <c r="D239" i="55"/>
  <c r="B126" i="55"/>
  <c r="D184" i="55" s="1"/>
  <c r="B70" i="72"/>
  <c r="D142" i="72" s="1"/>
  <c r="D155" i="72"/>
  <c r="B71" i="72"/>
  <c r="B30" i="84"/>
  <c r="B61" i="84" s="1"/>
  <c r="C91" i="83"/>
  <c r="B27" i="84"/>
  <c r="B58" i="84" s="1"/>
  <c r="C88" i="83"/>
  <c r="F10" i="21"/>
  <c r="I38" i="61"/>
  <c r="E198" i="53"/>
  <c r="E131" i="53"/>
  <c r="C15" i="84"/>
  <c r="C46" i="84" s="1"/>
  <c r="D76" i="83"/>
  <c r="D142" i="53"/>
  <c r="D209" i="53"/>
  <c r="K4" i="22"/>
  <c r="J20" i="22"/>
  <c r="J16" i="22"/>
  <c r="J21" i="22"/>
  <c r="J22" i="22"/>
  <c r="J18" i="22"/>
  <c r="J19" i="22"/>
  <c r="J17" i="22"/>
  <c r="J14" i="22"/>
  <c r="J12" i="22"/>
  <c r="J10" i="22"/>
  <c r="J9" i="22"/>
  <c r="J15" i="22"/>
  <c r="J13" i="22"/>
  <c r="J11" i="22"/>
  <c r="J8" i="22"/>
  <c r="I110" i="29"/>
  <c r="H96" i="22"/>
  <c r="J11" i="29"/>
  <c r="J96" i="29"/>
  <c r="I60" i="29"/>
  <c r="D82" i="83"/>
  <c r="C21" i="84"/>
  <c r="C52" i="84" s="1"/>
  <c r="E96" i="81"/>
  <c r="E13" i="53"/>
  <c r="E66" i="53" s="1"/>
  <c r="E125" i="83"/>
  <c r="E56" i="53"/>
  <c r="E109" i="53" s="1"/>
  <c r="D44" i="81"/>
  <c r="C13" i="55"/>
  <c r="C70" i="55" s="1"/>
  <c r="D74" i="81"/>
  <c r="C20" i="72"/>
  <c r="C44" i="72" s="1"/>
  <c r="D47" i="81"/>
  <c r="C16" i="55"/>
  <c r="C73" i="55" s="1"/>
  <c r="D140" i="53"/>
  <c r="D207" i="53"/>
  <c r="D233" i="53"/>
  <c r="D166" i="53"/>
  <c r="D143" i="53"/>
  <c r="D210" i="53"/>
  <c r="D148" i="53"/>
  <c r="D215" i="53"/>
  <c r="E57" i="53"/>
  <c r="E110" i="53" s="1"/>
  <c r="E126" i="83"/>
  <c r="B28" i="55"/>
  <c r="B85" i="55" s="1"/>
  <c r="C59" i="81"/>
  <c r="F42" i="21"/>
  <c r="F14" i="69"/>
  <c r="E103" i="83"/>
  <c r="E34" i="53"/>
  <c r="E87" i="53" s="1"/>
  <c r="F50" i="81"/>
  <c r="E19" i="55"/>
  <c r="E76" i="55" s="1"/>
  <c r="D169" i="53"/>
  <c r="D236" i="53"/>
  <c r="C115" i="53"/>
  <c r="B33" i="84"/>
  <c r="C94" i="83"/>
  <c r="D164" i="53"/>
  <c r="D231" i="53"/>
  <c r="B29" i="84"/>
  <c r="B60" i="84" s="1"/>
  <c r="C90" i="83"/>
  <c r="C19" i="84"/>
  <c r="C50" i="84" s="1"/>
  <c r="D80" i="83"/>
  <c r="B29" i="72"/>
  <c r="B53" i="72" s="1"/>
  <c r="C83" i="81"/>
  <c r="D46" i="83"/>
  <c r="C35" i="55"/>
  <c r="H218" i="53"/>
  <c r="H151" i="53"/>
  <c r="B23" i="72"/>
  <c r="B47" i="72" s="1"/>
  <c r="C77" i="81"/>
  <c r="E160" i="53"/>
  <c r="E227" i="53"/>
  <c r="C35" i="84"/>
  <c r="C63" i="84" s="1"/>
  <c r="D96" i="83"/>
  <c r="D67" i="83"/>
  <c r="C56" i="55"/>
  <c r="C113" i="55" s="1"/>
  <c r="E42" i="21"/>
  <c r="E14" i="69"/>
  <c r="D49" i="83"/>
  <c r="C38" i="55"/>
  <c r="C95" i="55" s="1"/>
  <c r="D95" i="83"/>
  <c r="C34" i="84"/>
  <c r="C62" i="84" s="1"/>
  <c r="D103" i="81"/>
  <c r="D20" i="53"/>
  <c r="D73" i="53" s="1"/>
  <c r="K46" i="22"/>
  <c r="L43" i="22" s="1"/>
  <c r="D253" i="53" l="1"/>
  <c r="D115" i="53"/>
  <c r="E246" i="53" s="1"/>
  <c r="B32" i="72"/>
  <c r="B35" i="72" s="1"/>
  <c r="D119" i="53"/>
  <c r="E251" i="53" s="1"/>
  <c r="I34" i="42"/>
  <c r="C15" i="69"/>
  <c r="E275" i="55"/>
  <c r="C165" i="55"/>
  <c r="E224" i="55" s="1"/>
  <c r="D83" i="81"/>
  <c r="C29" i="72"/>
  <c r="C53" i="72" s="1"/>
  <c r="D94" i="83"/>
  <c r="C33" i="84"/>
  <c r="F96" i="81"/>
  <c r="F13" i="53"/>
  <c r="F66" i="53" s="1"/>
  <c r="D68" i="22"/>
  <c r="E49" i="22"/>
  <c r="E50" i="83"/>
  <c r="D39" i="55"/>
  <c r="D96" i="55" s="1"/>
  <c r="D140" i="72"/>
  <c r="D269" i="55"/>
  <c r="B156" i="55"/>
  <c r="D215" i="55" s="1"/>
  <c r="E143" i="53"/>
  <c r="E210" i="53"/>
  <c r="D20" i="84"/>
  <c r="D51" i="84" s="1"/>
  <c r="E81" i="83"/>
  <c r="D85" i="81"/>
  <c r="C31" i="72"/>
  <c r="C55" i="72" s="1"/>
  <c r="E217" i="53"/>
  <c r="E150" i="53"/>
  <c r="F229" i="53"/>
  <c r="F162" i="53"/>
  <c r="D57" i="81"/>
  <c r="C26" i="55"/>
  <c r="C83" i="55" s="1"/>
  <c r="D92" i="83"/>
  <c r="C31" i="84"/>
  <c r="D93" i="83"/>
  <c r="C32" i="84"/>
  <c r="D59" i="83"/>
  <c r="C48" i="55"/>
  <c r="C105" i="55" s="1"/>
  <c r="E230" i="53"/>
  <c r="E163" i="53"/>
  <c r="E67" i="81"/>
  <c r="D13" i="72"/>
  <c r="D188" i="53"/>
  <c r="D251" i="53"/>
  <c r="E264" i="55"/>
  <c r="C151" i="55"/>
  <c r="E210" i="55" s="1"/>
  <c r="C139" i="55"/>
  <c r="E197" i="55" s="1"/>
  <c r="E252" i="55"/>
  <c r="E278" i="55"/>
  <c r="C168" i="55"/>
  <c r="E227" i="55" s="1"/>
  <c r="D63" i="83"/>
  <c r="C52" i="55"/>
  <c r="C109" i="55" s="1"/>
  <c r="D55" i="83"/>
  <c r="C44" i="55"/>
  <c r="C101" i="55" s="1"/>
  <c r="E49" i="83"/>
  <c r="D38" i="55"/>
  <c r="D95" i="55" s="1"/>
  <c r="F126" i="83"/>
  <c r="F57" i="53"/>
  <c r="F110" i="53" s="1"/>
  <c r="D114" i="53"/>
  <c r="D118" i="53"/>
  <c r="E121" i="83"/>
  <c r="E52" i="53"/>
  <c r="E105" i="53" s="1"/>
  <c r="F173" i="53" s="1"/>
  <c r="I173" i="29"/>
  <c r="I158" i="29"/>
  <c r="I143" i="29"/>
  <c r="I128" i="29"/>
  <c r="I35" i="29"/>
  <c r="B133" i="55"/>
  <c r="D191" i="55" s="1"/>
  <c r="D246" i="55"/>
  <c r="F109" i="83"/>
  <c r="F40" i="53"/>
  <c r="F93" i="53" s="1"/>
  <c r="E164" i="53"/>
  <c r="E231" i="53"/>
  <c r="E48" i="53"/>
  <c r="E101" i="53" s="1"/>
  <c r="E117" i="83"/>
  <c r="E105" i="81"/>
  <c r="E22" i="53"/>
  <c r="E75" i="53" s="1"/>
  <c r="E102" i="81"/>
  <c r="E19" i="53"/>
  <c r="E72" i="53" s="1"/>
  <c r="D268" i="55"/>
  <c r="B155" i="55"/>
  <c r="D214" i="55" s="1"/>
  <c r="E104" i="81"/>
  <c r="E21" i="53"/>
  <c r="E74" i="53" s="1"/>
  <c r="F20" i="21"/>
  <c r="I51" i="61"/>
  <c r="H45" i="42"/>
  <c r="H47" i="42" s="1"/>
  <c r="C126" i="55"/>
  <c r="E184" i="55" s="1"/>
  <c r="E239" i="55"/>
  <c r="E111" i="81"/>
  <c r="E28" i="53"/>
  <c r="E81" i="53" s="1"/>
  <c r="D51" i="81"/>
  <c r="C20" i="55"/>
  <c r="C77" i="55" s="1"/>
  <c r="F223" i="53"/>
  <c r="F156" i="53"/>
  <c r="C63" i="72"/>
  <c r="E153" i="72"/>
  <c r="C64" i="72"/>
  <c r="E240" i="55"/>
  <c r="C127" i="55"/>
  <c r="E185" i="55" s="1"/>
  <c r="E107" i="81"/>
  <c r="E24" i="53"/>
  <c r="E77" i="53" s="1"/>
  <c r="D86" i="83"/>
  <c r="C25" i="84"/>
  <c r="C56" i="84" s="1"/>
  <c r="D18" i="72"/>
  <c r="D42" i="72" s="1"/>
  <c r="E72" i="81"/>
  <c r="E112" i="81"/>
  <c r="E29" i="53"/>
  <c r="E82" i="53" s="1"/>
  <c r="E75" i="83"/>
  <c r="D14" i="84"/>
  <c r="F110" i="83"/>
  <c r="F41" i="53"/>
  <c r="F94" i="53" s="1"/>
  <c r="B120" i="55"/>
  <c r="D233" i="55"/>
  <c r="B135" i="55"/>
  <c r="D193" i="55" s="1"/>
  <c r="D248" i="55"/>
  <c r="E108" i="81"/>
  <c r="E25" i="53"/>
  <c r="E78" i="53" s="1"/>
  <c r="E118" i="83"/>
  <c r="E49" i="53"/>
  <c r="E102" i="53" s="1"/>
  <c r="B157" i="55"/>
  <c r="D216" i="55" s="1"/>
  <c r="D270" i="55"/>
  <c r="E111" i="83"/>
  <c r="E42" i="53"/>
  <c r="E95" i="53" s="1"/>
  <c r="E43" i="81"/>
  <c r="D12" i="55"/>
  <c r="D69" i="55" s="1"/>
  <c r="D53" i="81"/>
  <c r="C22" i="55"/>
  <c r="C79" i="55" s="1"/>
  <c r="F204" i="53"/>
  <c r="F137" i="53"/>
  <c r="D76" i="81"/>
  <c r="C22" i="72"/>
  <c r="C46" i="72" s="1"/>
  <c r="E211" i="53"/>
  <c r="E144" i="53"/>
  <c r="G96" i="22"/>
  <c r="H60" i="29"/>
  <c r="H110" i="29"/>
  <c r="I11" i="29"/>
  <c r="I96" i="29"/>
  <c r="F108" i="83"/>
  <c r="F39" i="53"/>
  <c r="F92" i="53" s="1"/>
  <c r="J218" i="53"/>
  <c r="J151" i="53"/>
  <c r="B136" i="55"/>
  <c r="D194" i="55" s="1"/>
  <c r="D249" i="55"/>
  <c r="E116" i="83"/>
  <c r="E47" i="53"/>
  <c r="E100" i="53" s="1"/>
  <c r="E45" i="81"/>
  <c r="D14" i="55"/>
  <c r="D71" i="55" s="1"/>
  <c r="E42" i="81"/>
  <c r="D11" i="55"/>
  <c r="E53" i="83"/>
  <c r="D42" i="55"/>
  <c r="D99" i="55" s="1"/>
  <c r="E61" i="81"/>
  <c r="D30" i="55"/>
  <c r="D87" i="55" s="1"/>
  <c r="E70" i="83"/>
  <c r="D59" i="55"/>
  <c r="D116" i="55" s="1"/>
  <c r="J27" i="42"/>
  <c r="J29" i="42"/>
  <c r="J28" i="42"/>
  <c r="J21" i="42"/>
  <c r="J23" i="42" s="1"/>
  <c r="J37" i="42"/>
  <c r="J43" i="42" s="1"/>
  <c r="H30" i="21" s="1"/>
  <c r="D274" i="55"/>
  <c r="B161" i="55"/>
  <c r="D220" i="55" s="1"/>
  <c r="E97" i="83"/>
  <c r="D36" i="84"/>
  <c r="D64" i="84" s="1"/>
  <c r="F124" i="83"/>
  <c r="F55" i="53"/>
  <c r="F108" i="53" s="1"/>
  <c r="B132" i="55"/>
  <c r="D190" i="55" s="1"/>
  <c r="D245" i="55"/>
  <c r="B159" i="55"/>
  <c r="D218" i="55" s="1"/>
  <c r="D272" i="55"/>
  <c r="B153" i="55"/>
  <c r="D212" i="55" s="1"/>
  <c r="D266" i="55"/>
  <c r="E260" i="55"/>
  <c r="C147" i="55"/>
  <c r="E206" i="55" s="1"/>
  <c r="D90" i="83"/>
  <c r="C29" i="84"/>
  <c r="C60" i="84" s="1"/>
  <c r="F103" i="83"/>
  <c r="F34" i="53"/>
  <c r="F87" i="53" s="1"/>
  <c r="E44" i="81"/>
  <c r="D13" i="55"/>
  <c r="D70" i="55" s="1"/>
  <c r="J23" i="22"/>
  <c r="G35" i="21" s="1"/>
  <c r="G36" i="21" s="1"/>
  <c r="F107" i="83"/>
  <c r="F38" i="53"/>
  <c r="F91" i="53" s="1"/>
  <c r="E79" i="83"/>
  <c r="D18" i="84"/>
  <c r="D49" i="84" s="1"/>
  <c r="D84" i="81"/>
  <c r="C30" i="72"/>
  <c r="C54" i="72" s="1"/>
  <c r="D57" i="83"/>
  <c r="C46" i="55"/>
  <c r="C103" i="55" s="1"/>
  <c r="E216" i="53"/>
  <c r="E149" i="53"/>
  <c r="B12" i="72"/>
  <c r="E212" i="53"/>
  <c r="E145" i="53"/>
  <c r="E48" i="83"/>
  <c r="D37" i="55"/>
  <c r="D94" i="55" s="1"/>
  <c r="C45" i="84"/>
  <c r="B33" i="55"/>
  <c r="E146" i="53"/>
  <c r="E213" i="53"/>
  <c r="E122" i="83"/>
  <c r="E53" i="53"/>
  <c r="E106" i="53" s="1"/>
  <c r="F174" i="53" s="1"/>
  <c r="E110" i="29"/>
  <c r="D96" i="22"/>
  <c r="F96" i="29"/>
  <c r="E60" i="29"/>
  <c r="F11" i="29"/>
  <c r="E45" i="29"/>
  <c r="F105" i="83"/>
  <c r="F36" i="53"/>
  <c r="F89" i="53" s="1"/>
  <c r="D154" i="84"/>
  <c r="D159" i="84" s="1"/>
  <c r="D168" i="84"/>
  <c r="D169" i="84"/>
  <c r="F160" i="53"/>
  <c r="F227" i="53"/>
  <c r="D58" i="81"/>
  <c r="C27" i="55"/>
  <c r="C84" i="55" s="1"/>
  <c r="E236" i="55"/>
  <c r="C123" i="55"/>
  <c r="E181" i="55" s="1"/>
  <c r="C27" i="72"/>
  <c r="C51" i="72" s="1"/>
  <c r="D81" i="81"/>
  <c r="G20" i="21"/>
  <c r="J51" i="61"/>
  <c r="I45" i="42"/>
  <c r="F240" i="53"/>
  <c r="F176" i="53"/>
  <c r="D61" i="83"/>
  <c r="C50" i="55"/>
  <c r="C107" i="55" s="1"/>
  <c r="E103" i="81"/>
  <c r="E20" i="53"/>
  <c r="E73" i="53" s="1"/>
  <c r="E67" i="83"/>
  <c r="D56" i="55"/>
  <c r="D113" i="55" s="1"/>
  <c r="F241" i="53"/>
  <c r="F177" i="53"/>
  <c r="E163" i="84"/>
  <c r="C124" i="84"/>
  <c r="C141" i="84" s="1"/>
  <c r="C126" i="84"/>
  <c r="C143" i="84" s="1"/>
  <c r="E156" i="84" s="1"/>
  <c r="E164" i="84"/>
  <c r="E167" i="84"/>
  <c r="C125" i="84"/>
  <c r="C142" i="84" s="1"/>
  <c r="E155" i="84" s="1"/>
  <c r="E96" i="83"/>
  <c r="D35" i="84"/>
  <c r="D63" i="84" s="1"/>
  <c r="C23" i="72"/>
  <c r="C47" i="72" s="1"/>
  <c r="D77" i="81"/>
  <c r="C92" i="55"/>
  <c r="E80" i="83"/>
  <c r="D19" i="84"/>
  <c r="D50" i="84" s="1"/>
  <c r="D183" i="53"/>
  <c r="D246" i="53"/>
  <c r="G50" i="81"/>
  <c r="F19" i="55"/>
  <c r="F76" i="55" s="1"/>
  <c r="G60" i="29"/>
  <c r="H96" i="29"/>
  <c r="H11" i="29"/>
  <c r="F96" i="22"/>
  <c r="G110" i="29"/>
  <c r="F178" i="53"/>
  <c r="F242" i="53"/>
  <c r="E74" i="81"/>
  <c r="D20" i="72"/>
  <c r="D44" i="72" s="1"/>
  <c r="F56" i="53"/>
  <c r="F109" i="53" s="1"/>
  <c r="F125" i="83"/>
  <c r="D21" i="84"/>
  <c r="D52" i="84" s="1"/>
  <c r="E82" i="83"/>
  <c r="E76" i="83"/>
  <c r="D15" i="84"/>
  <c r="D46" i="84" s="1"/>
  <c r="G34" i="29"/>
  <c r="G157" i="29"/>
  <c r="G142" i="29"/>
  <c r="G127" i="29"/>
  <c r="G172" i="29"/>
  <c r="D79" i="81"/>
  <c r="C25" i="72"/>
  <c r="C49" i="72" s="1"/>
  <c r="D116" i="53"/>
  <c r="E234" i="53"/>
  <c r="E167" i="53"/>
  <c r="F225" i="53"/>
  <c r="F158" i="53"/>
  <c r="D60" i="81"/>
  <c r="C29" i="55"/>
  <c r="C86" i="55" s="1"/>
  <c r="L38" i="22"/>
  <c r="L39" i="22" s="1"/>
  <c r="D141" i="72"/>
  <c r="F228" i="53"/>
  <c r="F161" i="53"/>
  <c r="E112" i="83"/>
  <c r="E43" i="53"/>
  <c r="E96" i="53" s="1"/>
  <c r="D19" i="72"/>
  <c r="D43" i="72" s="1"/>
  <c r="E73" i="81"/>
  <c r="E169" i="53"/>
  <c r="E236" i="53"/>
  <c r="E148" i="53"/>
  <c r="E215" i="53"/>
  <c r="E233" i="53"/>
  <c r="E166" i="53"/>
  <c r="D56" i="83"/>
  <c r="C45" i="55"/>
  <c r="C102" i="55" s="1"/>
  <c r="E155" i="72"/>
  <c r="C70" i="72"/>
  <c r="E142" i="72" s="1"/>
  <c r="C71" i="72"/>
  <c r="E120" i="83"/>
  <c r="E51" i="53"/>
  <c r="E104" i="53" s="1"/>
  <c r="F172" i="53" s="1"/>
  <c r="F132" i="53"/>
  <c r="F199" i="53"/>
  <c r="B129" i="55"/>
  <c r="D187" i="55" s="1"/>
  <c r="D242" i="55"/>
  <c r="F104" i="83"/>
  <c r="F35" i="53"/>
  <c r="F88" i="53" s="1"/>
  <c r="D14" i="72"/>
  <c r="D38" i="72" s="1"/>
  <c r="E68" i="81"/>
  <c r="E49" i="81"/>
  <c r="D18" i="55"/>
  <c r="D75" i="55" s="1"/>
  <c r="E277" i="55"/>
  <c r="C167" i="55"/>
  <c r="E226" i="55" s="1"/>
  <c r="E139" i="53"/>
  <c r="E206" i="53"/>
  <c r="E258" i="55"/>
  <c r="C145" i="55"/>
  <c r="E204" i="55" s="1"/>
  <c r="C26" i="72"/>
  <c r="C50" i="72" s="1"/>
  <c r="D80" i="81"/>
  <c r="C78" i="72"/>
  <c r="E154" i="72"/>
  <c r="C79" i="72"/>
  <c r="D184" i="53"/>
  <c r="D247" i="53"/>
  <c r="D62" i="81"/>
  <c r="C31" i="55"/>
  <c r="C88" i="55" s="1"/>
  <c r="F133" i="53"/>
  <c r="F200" i="53"/>
  <c r="F221" i="53"/>
  <c r="F154" i="53"/>
  <c r="F202" i="53"/>
  <c r="F135" i="53"/>
  <c r="E263" i="55"/>
  <c r="C150" i="55"/>
  <c r="E209" i="55" s="1"/>
  <c r="D56" i="81"/>
  <c r="C25" i="55"/>
  <c r="C82" i="55" s="1"/>
  <c r="D85" i="83"/>
  <c r="C24" i="84"/>
  <c r="C55" i="84" s="1"/>
  <c r="E262" i="55"/>
  <c r="C149" i="55"/>
  <c r="E208" i="55" s="1"/>
  <c r="D17" i="72"/>
  <c r="D41" i="72" s="1"/>
  <c r="E71" i="81"/>
  <c r="G134" i="29"/>
  <c r="G164" i="29"/>
  <c r="G149" i="29"/>
  <c r="G45" i="29"/>
  <c r="G179" i="29"/>
  <c r="G23" i="68"/>
  <c r="E234" i="55"/>
  <c r="C121" i="55"/>
  <c r="E179" i="55" s="1"/>
  <c r="D244" i="55"/>
  <c r="B131" i="55"/>
  <c r="D189" i="55" s="1"/>
  <c r="F99" i="81"/>
  <c r="F16" i="53"/>
  <c r="F69" i="53" s="1"/>
  <c r="D37" i="84"/>
  <c r="D65" i="84" s="1"/>
  <c r="E98" i="83"/>
  <c r="E106" i="81"/>
  <c r="E23" i="53"/>
  <c r="E76" i="53" s="1"/>
  <c r="D52" i="81"/>
  <c r="C21" i="55"/>
  <c r="C78" i="55" s="1"/>
  <c r="B61" i="55"/>
  <c r="D62" i="83"/>
  <c r="C51" i="55"/>
  <c r="C108" i="55" s="1"/>
  <c r="K67" i="22"/>
  <c r="E238" i="53"/>
  <c r="E171" i="53"/>
  <c r="E276" i="55"/>
  <c r="C166" i="55"/>
  <c r="E225" i="55" s="1"/>
  <c r="D87" i="83"/>
  <c r="C26" i="84"/>
  <c r="C57" i="84" s="1"/>
  <c r="F198" i="53"/>
  <c r="F131" i="53"/>
  <c r="D60" i="83"/>
  <c r="C49" i="55"/>
  <c r="C106" i="55" s="1"/>
  <c r="F175" i="53"/>
  <c r="F239" i="53"/>
  <c r="D78" i="81"/>
  <c r="C24" i="72"/>
  <c r="C48" i="72" s="1"/>
  <c r="F197" i="53"/>
  <c r="F130" i="53"/>
  <c r="E265" i="55"/>
  <c r="C152" i="55"/>
  <c r="E211" i="55" s="1"/>
  <c r="E208" i="53"/>
  <c r="E141" i="53"/>
  <c r="D250" i="55"/>
  <c r="B137" i="55"/>
  <c r="D195" i="55" s="1"/>
  <c r="D16" i="55"/>
  <c r="D73" i="55" s="1"/>
  <c r="E47" i="81"/>
  <c r="D55" i="81"/>
  <c r="C24" i="55"/>
  <c r="C81" i="55" s="1"/>
  <c r="D187" i="53"/>
  <c r="D250" i="53"/>
  <c r="E207" i="53"/>
  <c r="E140" i="53"/>
  <c r="E142" i="53"/>
  <c r="E209" i="53"/>
  <c r="E48" i="81"/>
  <c r="D17" i="55"/>
  <c r="D74" i="55" s="1"/>
  <c r="N64" i="22"/>
  <c r="O61" i="22" s="1"/>
  <c r="N62" i="22"/>
  <c r="N63" i="22" s="1"/>
  <c r="E113" i="83"/>
  <c r="E44" i="53"/>
  <c r="E97" i="53" s="1"/>
  <c r="F12" i="23"/>
  <c r="E12" i="23" s="1"/>
  <c r="F98" i="81"/>
  <c r="F15" i="53"/>
  <c r="F68" i="53" s="1"/>
  <c r="E237" i="53"/>
  <c r="E170" i="53"/>
  <c r="E46" i="81"/>
  <c r="D15" i="55"/>
  <c r="D72" i="55" s="1"/>
  <c r="I151" i="53"/>
  <c r="I218" i="53"/>
  <c r="E168" i="53"/>
  <c r="E235" i="53"/>
  <c r="C68" i="55"/>
  <c r="D82" i="81"/>
  <c r="C28" i="72"/>
  <c r="C52" i="72" s="1"/>
  <c r="J38" i="61"/>
  <c r="G10" i="21"/>
  <c r="I47" i="42"/>
  <c r="D54" i="81"/>
  <c r="C23" i="55"/>
  <c r="C80" i="55" s="1"/>
  <c r="G241" i="55"/>
  <c r="E128" i="55"/>
  <c r="G186" i="55" s="1"/>
  <c r="D91" i="83"/>
  <c r="C30" i="84"/>
  <c r="C61" i="84" s="1"/>
  <c r="L44" i="22"/>
  <c r="L45" i="22" s="1"/>
  <c r="E95" i="83"/>
  <c r="D34" i="84"/>
  <c r="D62" i="84" s="1"/>
  <c r="G96" i="29"/>
  <c r="G11" i="29"/>
  <c r="F60" i="29"/>
  <c r="E96" i="22"/>
  <c r="F110" i="29"/>
  <c r="B95" i="72"/>
  <c r="D139" i="72" s="1"/>
  <c r="D152" i="72"/>
  <c r="B96" i="72"/>
  <c r="E46" i="83"/>
  <c r="D35" i="55"/>
  <c r="F222" i="53"/>
  <c r="F155" i="53"/>
  <c r="D59" i="81"/>
  <c r="C28" i="55"/>
  <c r="C85" i="55" s="1"/>
  <c r="E238" i="55"/>
  <c r="C125" i="55"/>
  <c r="E183" i="55" s="1"/>
  <c r="E235" i="55"/>
  <c r="C122" i="55"/>
  <c r="E180" i="55" s="1"/>
  <c r="F201" i="53"/>
  <c r="F134" i="53"/>
  <c r="K21" i="22"/>
  <c r="K17" i="22"/>
  <c r="K22" i="22"/>
  <c r="K19" i="22"/>
  <c r="K20" i="22"/>
  <c r="K18" i="22"/>
  <c r="K16" i="22"/>
  <c r="K15" i="22"/>
  <c r="K13" i="22"/>
  <c r="K11" i="22"/>
  <c r="K8" i="22"/>
  <c r="K14" i="22"/>
  <c r="K12" i="22"/>
  <c r="K10" i="22"/>
  <c r="K9" i="22"/>
  <c r="C27" i="84"/>
  <c r="C58" i="84" s="1"/>
  <c r="D88" i="83"/>
  <c r="D89" i="83"/>
  <c r="C28" i="84"/>
  <c r="C59" i="84" s="1"/>
  <c r="E261" i="55"/>
  <c r="C148" i="55"/>
  <c r="E207" i="55" s="1"/>
  <c r="D83" i="83"/>
  <c r="C22" i="84"/>
  <c r="C53" i="84" s="1"/>
  <c r="E115" i="83"/>
  <c r="E46" i="53"/>
  <c r="E99" i="53" s="1"/>
  <c r="F106" i="83"/>
  <c r="F37" i="53"/>
  <c r="F90" i="53" s="1"/>
  <c r="D251" i="55"/>
  <c r="B138" i="55"/>
  <c r="D196" i="55" s="1"/>
  <c r="D58" i="83"/>
  <c r="C47" i="55"/>
  <c r="C104" i="55" s="1"/>
  <c r="F159" i="53"/>
  <c r="F226" i="53"/>
  <c r="D182" i="53"/>
  <c r="D245" i="53"/>
  <c r="P56" i="22"/>
  <c r="P57" i="22" s="1"/>
  <c r="C96" i="22"/>
  <c r="D60" i="29"/>
  <c r="D110" i="29"/>
  <c r="E96" i="29"/>
  <c r="E11" i="29"/>
  <c r="D45" i="29"/>
  <c r="E110" i="81"/>
  <c r="E27" i="53"/>
  <c r="E80" i="53" s="1"/>
  <c r="E114" i="83"/>
  <c r="E45" i="53"/>
  <c r="E98" i="53" s="1"/>
  <c r="B154" i="55"/>
  <c r="D213" i="55" s="1"/>
  <c r="D267" i="55"/>
  <c r="E70" i="81"/>
  <c r="D16" i="72"/>
  <c r="D40" i="72" s="1"/>
  <c r="F94" i="81"/>
  <c r="F11" i="53"/>
  <c r="F64" i="53" s="1"/>
  <c r="E232" i="53"/>
  <c r="E165" i="53"/>
  <c r="E69" i="83"/>
  <c r="D58" i="55"/>
  <c r="D115" i="55" s="1"/>
  <c r="E101" i="81"/>
  <c r="E18" i="53"/>
  <c r="E71" i="53" s="1"/>
  <c r="E47" i="83"/>
  <c r="D36" i="55"/>
  <c r="D93" i="55" s="1"/>
  <c r="E259" i="55"/>
  <c r="C146" i="55"/>
  <c r="E205" i="55" s="1"/>
  <c r="D254" i="53"/>
  <c r="E69" i="81"/>
  <c r="D15" i="72"/>
  <c r="D39" i="72" s="1"/>
  <c r="F203" i="53"/>
  <c r="F136" i="53"/>
  <c r="L49" i="22"/>
  <c r="K68" i="22"/>
  <c r="B140" i="55"/>
  <c r="D198" i="55" s="1"/>
  <c r="D253" i="55"/>
  <c r="F95" i="81"/>
  <c r="F12" i="53"/>
  <c r="F65" i="53" s="1"/>
  <c r="C60" i="29"/>
  <c r="C110" i="29"/>
  <c r="D11" i="29"/>
  <c r="B96" i="22"/>
  <c r="D96" i="29"/>
  <c r="C45" i="29"/>
  <c r="F33" i="53"/>
  <c r="F86" i="53" s="1"/>
  <c r="F102" i="83"/>
  <c r="G75" i="81"/>
  <c r="F21" i="72"/>
  <c r="F45" i="72" s="1"/>
  <c r="F97" i="81"/>
  <c r="F14" i="53"/>
  <c r="F67" i="53" s="1"/>
  <c r="D17" i="84"/>
  <c r="D48" i="84" s="1"/>
  <c r="E78" i="83"/>
  <c r="E52" i="83"/>
  <c r="D41" i="55"/>
  <c r="D98" i="55" s="1"/>
  <c r="B134" i="55"/>
  <c r="D192" i="55" s="1"/>
  <c r="D247" i="55"/>
  <c r="E51" i="83"/>
  <c r="D40" i="55"/>
  <c r="D97" i="55" s="1"/>
  <c r="C23" i="84"/>
  <c r="C54" i="84" s="1"/>
  <c r="D84" i="83"/>
  <c r="E237" i="55"/>
  <c r="C124" i="55"/>
  <c r="E182" i="55" s="1"/>
  <c r="C32" i="72"/>
  <c r="C37" i="72"/>
  <c r="F224" i="53"/>
  <c r="F157" i="53"/>
  <c r="B39" i="84"/>
  <c r="D243" i="55"/>
  <c r="B130" i="55"/>
  <c r="D188" i="55" s="1"/>
  <c r="B144" i="55"/>
  <c r="D203" i="55" s="1"/>
  <c r="D257" i="55"/>
  <c r="D273" i="55"/>
  <c r="B160" i="55"/>
  <c r="D219" i="55" s="1"/>
  <c r="E50" i="53"/>
  <c r="E103" i="53" s="1"/>
  <c r="E119" i="83"/>
  <c r="E51" i="22"/>
  <c r="D67" i="22"/>
  <c r="E68" i="83"/>
  <c r="D57" i="55"/>
  <c r="D114" i="55" s="1"/>
  <c r="F93" i="81"/>
  <c r="F10" i="53"/>
  <c r="F63" i="53" s="1"/>
  <c r="B158" i="55"/>
  <c r="D217" i="55" s="1"/>
  <c r="D271" i="55"/>
  <c r="F123" i="83"/>
  <c r="F54" i="53"/>
  <c r="F107" i="53" s="1"/>
  <c r="F92" i="81"/>
  <c r="F9" i="53"/>
  <c r="F62" i="53" s="1"/>
  <c r="D16" i="84"/>
  <c r="D47" i="84" s="1"/>
  <c r="E77" i="83"/>
  <c r="E54" i="83"/>
  <c r="D43" i="55"/>
  <c r="D100" i="55" s="1"/>
  <c r="F45" i="29"/>
  <c r="D156" i="72" l="1"/>
  <c r="D191" i="53"/>
  <c r="E34" i="61" s="1"/>
  <c r="E183" i="53"/>
  <c r="E254" i="53"/>
  <c r="E188" i="53"/>
  <c r="E15" i="61"/>
  <c r="D260" i="53" s="1"/>
  <c r="D262" i="53" s="1"/>
  <c r="E253" i="53"/>
  <c r="L46" i="22"/>
  <c r="M43" i="22" s="1"/>
  <c r="H149" i="29"/>
  <c r="H179" i="29"/>
  <c r="H134" i="29"/>
  <c r="H164" i="29"/>
  <c r="H23" i="68"/>
  <c r="H45" i="29"/>
  <c r="F119" i="83"/>
  <c r="F50" i="53"/>
  <c r="F103" i="53" s="1"/>
  <c r="E269" i="55"/>
  <c r="C156" i="55"/>
  <c r="E215" i="55" s="1"/>
  <c r="G98" i="81"/>
  <c r="G15" i="53"/>
  <c r="G68" i="53" s="1"/>
  <c r="F239" i="55"/>
  <c r="D126" i="55"/>
  <c r="F184" i="55" s="1"/>
  <c r="F238" i="55"/>
  <c r="D125" i="55"/>
  <c r="F183" i="55" s="1"/>
  <c r="E78" i="81"/>
  <c r="D24" i="72"/>
  <c r="D48" i="72" s="1"/>
  <c r="E60" i="83"/>
  <c r="D49" i="55"/>
  <c r="D106" i="55" s="1"/>
  <c r="F106" i="81"/>
  <c r="F23" i="53"/>
  <c r="F76" i="53" s="1"/>
  <c r="E62" i="81"/>
  <c r="D31" i="55"/>
  <c r="D88" i="55" s="1"/>
  <c r="F112" i="83"/>
  <c r="F43" i="53"/>
  <c r="F96" i="53" s="1"/>
  <c r="C138" i="55"/>
  <c r="E196" i="55" s="1"/>
  <c r="E251" i="55"/>
  <c r="E257" i="55"/>
  <c r="C144" i="55"/>
  <c r="E203" i="55" s="1"/>
  <c r="F103" i="81"/>
  <c r="F20" i="53"/>
  <c r="F73" i="53" s="1"/>
  <c r="D27" i="72"/>
  <c r="D51" i="72" s="1"/>
  <c r="E81" i="81"/>
  <c r="G105" i="83"/>
  <c r="G36" i="53"/>
  <c r="G89" i="53" s="1"/>
  <c r="C39" i="84"/>
  <c r="F264" i="55"/>
  <c r="D151" i="55"/>
  <c r="F210" i="55" s="1"/>
  <c r="G227" i="53"/>
  <c r="G160" i="53"/>
  <c r="D178" i="55"/>
  <c r="D284" i="55"/>
  <c r="D285" i="55"/>
  <c r="D78" i="72"/>
  <c r="F154" i="72"/>
  <c r="D79" i="72"/>
  <c r="G92" i="81"/>
  <c r="G9" i="53"/>
  <c r="G62" i="53" s="1"/>
  <c r="F238" i="53"/>
  <c r="F171" i="53"/>
  <c r="F263" i="55"/>
  <c r="D150" i="55"/>
  <c r="F209" i="55" s="1"/>
  <c r="G200" i="53"/>
  <c r="G133" i="53"/>
  <c r="F114" i="83"/>
  <c r="F45" i="53"/>
  <c r="F98" i="53" s="1"/>
  <c r="E83" i="83"/>
  <c r="D22" i="84"/>
  <c r="D53" i="84" s="1"/>
  <c r="E34" i="84"/>
  <c r="E62" i="84" s="1"/>
  <c r="F95" i="83"/>
  <c r="F113" i="83"/>
  <c r="F44" i="53"/>
  <c r="F97" i="53" s="1"/>
  <c r="F77" i="83"/>
  <c r="E16" i="84"/>
  <c r="E47" i="84" s="1"/>
  <c r="G239" i="53"/>
  <c r="G175" i="53"/>
  <c r="G131" i="53"/>
  <c r="G198" i="53"/>
  <c r="F51" i="83"/>
  <c r="E40" i="55"/>
  <c r="E97" i="55" s="1"/>
  <c r="F52" i="83"/>
  <c r="E41" i="55"/>
  <c r="E98" i="55" s="1"/>
  <c r="G97" i="81"/>
  <c r="G14" i="53"/>
  <c r="G67" i="53" s="1"/>
  <c r="G221" i="53"/>
  <c r="G154" i="53"/>
  <c r="G95" i="81"/>
  <c r="G12" i="53"/>
  <c r="G65" i="53" s="1"/>
  <c r="L50" i="22"/>
  <c r="L52" i="22"/>
  <c r="L65" i="22"/>
  <c r="F69" i="81"/>
  <c r="E15" i="72"/>
  <c r="E39" i="72" s="1"/>
  <c r="F258" i="55"/>
  <c r="D145" i="55"/>
  <c r="F204" i="55" s="1"/>
  <c r="F277" i="55"/>
  <c r="D167" i="55"/>
  <c r="F226" i="55" s="1"/>
  <c r="G132" i="53"/>
  <c r="G199" i="53"/>
  <c r="F215" i="53"/>
  <c r="F148" i="53"/>
  <c r="F167" i="53"/>
  <c r="F234" i="53"/>
  <c r="E250" i="55"/>
  <c r="C137" i="55"/>
  <c r="E195" i="55" s="1"/>
  <c r="D92" i="55"/>
  <c r="E245" i="55"/>
  <c r="C132" i="55"/>
  <c r="E190" i="55" s="1"/>
  <c r="E233" i="55"/>
  <c r="C120" i="55"/>
  <c r="E119" i="53"/>
  <c r="E115" i="53"/>
  <c r="E87" i="83"/>
  <c r="D26" i="84"/>
  <c r="D57" i="84" s="1"/>
  <c r="E62" i="83"/>
  <c r="D51" i="55"/>
  <c r="D108" i="55" s="1"/>
  <c r="E56" i="81"/>
  <c r="D25" i="55"/>
  <c r="D82" i="55" s="1"/>
  <c r="E80" i="81"/>
  <c r="D26" i="72"/>
  <c r="D50" i="72" s="1"/>
  <c r="D127" i="55"/>
  <c r="F185" i="55" s="1"/>
  <c r="F240" i="55"/>
  <c r="G223" i="53"/>
  <c r="G156" i="53"/>
  <c r="E56" i="83"/>
  <c r="D45" i="55"/>
  <c r="D102" i="55" s="1"/>
  <c r="E247" i="53"/>
  <c r="E184" i="53"/>
  <c r="G125" i="83"/>
  <c r="G56" i="53"/>
  <c r="G109" i="53" s="1"/>
  <c r="H50" i="81"/>
  <c r="H19" i="55" s="1"/>
  <c r="H76" i="55" s="1"/>
  <c r="G19" i="55"/>
  <c r="G76" i="55" s="1"/>
  <c r="E19" i="84"/>
  <c r="E50" i="84" s="1"/>
  <c r="F80" i="83"/>
  <c r="E152" i="72"/>
  <c r="C95" i="72"/>
  <c r="E139" i="72" s="1"/>
  <c r="C96" i="72"/>
  <c r="F67" i="83"/>
  <c r="E56" i="55"/>
  <c r="E113" i="55" s="1"/>
  <c r="E61" i="83"/>
  <c r="D50" i="55"/>
  <c r="D107" i="55" s="1"/>
  <c r="E39" i="61"/>
  <c r="B13" i="21"/>
  <c r="F259" i="55"/>
  <c r="D146" i="55"/>
  <c r="F205" i="55" s="1"/>
  <c r="E84" i="81"/>
  <c r="D30" i="72"/>
  <c r="D54" i="72" s="1"/>
  <c r="G107" i="83"/>
  <c r="G38" i="53"/>
  <c r="G91" i="53" s="1"/>
  <c r="F44" i="81"/>
  <c r="E13" i="55"/>
  <c r="E70" i="55" s="1"/>
  <c r="D29" i="84"/>
  <c r="D60" i="84" s="1"/>
  <c r="E90" i="83"/>
  <c r="J34" i="42"/>
  <c r="D139" i="55"/>
  <c r="F197" i="55" s="1"/>
  <c r="F252" i="55"/>
  <c r="D68" i="55"/>
  <c r="F168" i="53"/>
  <c r="F235" i="53"/>
  <c r="D22" i="72"/>
  <c r="D46" i="72" s="1"/>
  <c r="E76" i="81"/>
  <c r="E53" i="81"/>
  <c r="D22" i="55"/>
  <c r="D79" i="55" s="1"/>
  <c r="F111" i="83"/>
  <c r="F42" i="53"/>
  <c r="F95" i="53" s="1"/>
  <c r="F118" i="83"/>
  <c r="F49" i="53"/>
  <c r="F102" i="53" s="1"/>
  <c r="G110" i="83"/>
  <c r="G41" i="53"/>
  <c r="G94" i="53" s="1"/>
  <c r="F112" i="81"/>
  <c r="F29" i="53"/>
  <c r="F82" i="53" s="1"/>
  <c r="D25" i="84"/>
  <c r="D56" i="84" s="1"/>
  <c r="E86" i="83"/>
  <c r="F216" i="53"/>
  <c r="F149" i="53"/>
  <c r="F104" i="81"/>
  <c r="F21" i="53"/>
  <c r="F74" i="53" s="1"/>
  <c r="F102" i="81"/>
  <c r="F19" i="53"/>
  <c r="F72" i="53" s="1"/>
  <c r="F236" i="53"/>
  <c r="F169" i="53"/>
  <c r="G109" i="83"/>
  <c r="G40" i="53"/>
  <c r="G93" i="53" s="1"/>
  <c r="G178" i="53"/>
  <c r="G242" i="53"/>
  <c r="E266" i="55"/>
  <c r="C153" i="55"/>
  <c r="E212" i="55" s="1"/>
  <c r="D37" i="72"/>
  <c r="E270" i="55"/>
  <c r="C157" i="55"/>
  <c r="E216" i="55" s="1"/>
  <c r="E65" i="22"/>
  <c r="D13" i="69" s="1"/>
  <c r="D15" i="69" s="1"/>
  <c r="E52" i="22"/>
  <c r="F265" i="55"/>
  <c r="D152" i="55"/>
  <c r="F211" i="55" s="1"/>
  <c r="F276" i="55"/>
  <c r="D166" i="55"/>
  <c r="F225" i="55" s="1"/>
  <c r="E156" i="72"/>
  <c r="C35" i="72"/>
  <c r="C12" i="72"/>
  <c r="G21" i="72"/>
  <c r="G45" i="72" s="1"/>
  <c r="H75" i="81"/>
  <c r="H21" i="72" s="1"/>
  <c r="H45" i="72" s="1"/>
  <c r="F206" i="53"/>
  <c r="F139" i="53"/>
  <c r="F233" i="53"/>
  <c r="F166" i="53"/>
  <c r="G158" i="53"/>
  <c r="G225" i="53"/>
  <c r="F46" i="81"/>
  <c r="E15" i="55"/>
  <c r="E72" i="55" s="1"/>
  <c r="F232" i="53"/>
  <c r="F165" i="53"/>
  <c r="E246" i="55"/>
  <c r="C133" i="55"/>
  <c r="E191" i="55" s="1"/>
  <c r="C130" i="55"/>
  <c r="E188" i="55" s="1"/>
  <c r="E243" i="55"/>
  <c r="G99" i="81"/>
  <c r="G16" i="53"/>
  <c r="G69" i="53" s="1"/>
  <c r="E14" i="72"/>
  <c r="E38" i="72" s="1"/>
  <c r="F68" i="81"/>
  <c r="E21" i="84"/>
  <c r="E52" i="84" s="1"/>
  <c r="F82" i="83"/>
  <c r="F96" i="83"/>
  <c r="E35" i="84"/>
  <c r="E63" i="84" s="1"/>
  <c r="F122" i="83"/>
  <c r="F53" i="53"/>
  <c r="F106" i="53" s="1"/>
  <c r="G174" i="53" s="1"/>
  <c r="D146" i="72"/>
  <c r="D159" i="72"/>
  <c r="F79" i="83"/>
  <c r="E18" i="84"/>
  <c r="E49" i="84" s="1"/>
  <c r="D123" i="55"/>
  <c r="F181" i="55" s="1"/>
  <c r="F236" i="55"/>
  <c r="F43" i="81"/>
  <c r="E12" i="55"/>
  <c r="E69" i="55" s="1"/>
  <c r="F108" i="81"/>
  <c r="F25" i="53"/>
  <c r="F78" i="53" s="1"/>
  <c r="F75" i="83"/>
  <c r="E14" i="84"/>
  <c r="F107" i="81"/>
  <c r="F24" i="53"/>
  <c r="F77" i="53" s="1"/>
  <c r="E242" i="55"/>
  <c r="C129" i="55"/>
  <c r="E187" i="55" s="1"/>
  <c r="F105" i="81"/>
  <c r="F22" i="53"/>
  <c r="F75" i="53" s="1"/>
  <c r="F54" i="83"/>
  <c r="E43" i="55"/>
  <c r="E100" i="55" s="1"/>
  <c r="F68" i="83"/>
  <c r="E57" i="55"/>
  <c r="E114" i="55" s="1"/>
  <c r="F262" i="55"/>
  <c r="D149" i="55"/>
  <c r="F208" i="55" s="1"/>
  <c r="G202" i="53"/>
  <c r="G135" i="53"/>
  <c r="F101" i="81"/>
  <c r="F18" i="53"/>
  <c r="F71" i="53" s="1"/>
  <c r="F70" i="81"/>
  <c r="E16" i="72"/>
  <c r="E40" i="72" s="1"/>
  <c r="G106" i="83"/>
  <c r="G37" i="53"/>
  <c r="G90" i="53" s="1"/>
  <c r="D28" i="84"/>
  <c r="D59" i="84" s="1"/>
  <c r="E89" i="83"/>
  <c r="K23" i="22"/>
  <c r="H35" i="21" s="1"/>
  <c r="H36" i="21" s="1"/>
  <c r="E91" i="83"/>
  <c r="D30" i="84"/>
  <c r="D61" i="84" s="1"/>
  <c r="C33" i="55"/>
  <c r="G123" i="83"/>
  <c r="G54" i="53"/>
  <c r="G107" i="53" s="1"/>
  <c r="G93" i="81"/>
  <c r="G10" i="53"/>
  <c r="G63" i="53" s="1"/>
  <c r="F51" i="22"/>
  <c r="E67" i="22"/>
  <c r="E84" i="83"/>
  <c r="D23" i="84"/>
  <c r="D54" i="84" s="1"/>
  <c r="E17" i="84"/>
  <c r="E48" i="84" s="1"/>
  <c r="F78" i="83"/>
  <c r="E36" i="55"/>
  <c r="E93" i="55" s="1"/>
  <c r="F47" i="83"/>
  <c r="F69" i="83"/>
  <c r="E58" i="55"/>
  <c r="E115" i="55" s="1"/>
  <c r="G94" i="81"/>
  <c r="G11" i="53"/>
  <c r="G64" i="53" s="1"/>
  <c r="F110" i="81"/>
  <c r="F27" i="53"/>
  <c r="F80" i="53" s="1"/>
  <c r="P58" i="22"/>
  <c r="Q55" i="22" s="1"/>
  <c r="F115" i="83"/>
  <c r="F46" i="53"/>
  <c r="F99" i="53" s="1"/>
  <c r="E88" i="83"/>
  <c r="D27" i="84"/>
  <c r="D58" i="84" s="1"/>
  <c r="D28" i="55"/>
  <c r="D85" i="55" s="1"/>
  <c r="E59" i="81"/>
  <c r="F46" i="83"/>
  <c r="E35" i="55"/>
  <c r="M44" i="22"/>
  <c r="M45" i="22" s="1"/>
  <c r="E54" i="81"/>
  <c r="D23" i="55"/>
  <c r="D80" i="55" s="1"/>
  <c r="F237" i="55"/>
  <c r="D124" i="55"/>
  <c r="F182" i="55" s="1"/>
  <c r="G203" i="53"/>
  <c r="G136" i="53"/>
  <c r="G12" i="23"/>
  <c r="C13" i="23" s="1"/>
  <c r="O62" i="22"/>
  <c r="O63" i="22" s="1"/>
  <c r="F47" i="81"/>
  <c r="E16" i="55"/>
  <c r="E73" i="55" s="1"/>
  <c r="E114" i="53"/>
  <c r="E271" i="55"/>
  <c r="C158" i="55"/>
  <c r="E217" i="55" s="1"/>
  <c r="F211" i="53"/>
  <c r="F144" i="53"/>
  <c r="G204" i="53"/>
  <c r="G137" i="53"/>
  <c r="F71" i="81"/>
  <c r="E17" i="72"/>
  <c r="E41" i="72" s="1"/>
  <c r="E253" i="55"/>
  <c r="C140" i="55"/>
  <c r="E198" i="55" s="1"/>
  <c r="F49" i="81"/>
  <c r="E18" i="55"/>
  <c r="E75" i="55" s="1"/>
  <c r="G104" i="83"/>
  <c r="G35" i="53"/>
  <c r="G88" i="53" s="1"/>
  <c r="F231" i="53"/>
  <c r="F164" i="53"/>
  <c r="D161" i="72"/>
  <c r="L40" i="22"/>
  <c r="M37" i="22" s="1"/>
  <c r="E15" i="84"/>
  <c r="E46" i="84" s="1"/>
  <c r="F76" i="83"/>
  <c r="G177" i="53"/>
  <c r="G241" i="53"/>
  <c r="C61" i="55"/>
  <c r="F141" i="53"/>
  <c r="F208" i="53"/>
  <c r="G224" i="53"/>
  <c r="G157" i="53"/>
  <c r="B65" i="55"/>
  <c r="D200" i="55" s="1"/>
  <c r="B10" i="55"/>
  <c r="F48" i="83"/>
  <c r="E37" i="55"/>
  <c r="E94" i="55" s="1"/>
  <c r="D157" i="72"/>
  <c r="D158" i="72"/>
  <c r="E268" i="55"/>
  <c r="C155" i="55"/>
  <c r="E214" i="55" s="1"/>
  <c r="G222" i="53"/>
  <c r="G155" i="53"/>
  <c r="E36" i="84"/>
  <c r="E64" i="84" s="1"/>
  <c r="F97" i="83"/>
  <c r="K38" i="61"/>
  <c r="H10" i="21"/>
  <c r="F61" i="81"/>
  <c r="E30" i="55"/>
  <c r="E87" i="55" s="1"/>
  <c r="F42" i="81"/>
  <c r="E11" i="55"/>
  <c r="F47" i="53"/>
  <c r="F100" i="53" s="1"/>
  <c r="F116" i="83"/>
  <c r="D121" i="55"/>
  <c r="F179" i="55" s="1"/>
  <c r="F234" i="55"/>
  <c r="F213" i="53"/>
  <c r="F146" i="53"/>
  <c r="D45" i="84"/>
  <c r="F72" i="81"/>
  <c r="E18" i="72"/>
  <c r="E42" i="72" s="1"/>
  <c r="F212" i="53"/>
  <c r="F145" i="53"/>
  <c r="F111" i="81"/>
  <c r="F28" i="53"/>
  <c r="F81" i="53" s="1"/>
  <c r="F210" i="53"/>
  <c r="F143" i="53"/>
  <c r="F121" i="83"/>
  <c r="F52" i="53"/>
  <c r="F105" i="53" s="1"/>
  <c r="G173" i="53" s="1"/>
  <c r="G126" i="83"/>
  <c r="G57" i="53"/>
  <c r="G110" i="53" s="1"/>
  <c r="E55" i="83"/>
  <c r="D44" i="55"/>
  <c r="D101" i="55" s="1"/>
  <c r="F67" i="81"/>
  <c r="E13" i="72"/>
  <c r="E59" i="83"/>
  <c r="D48" i="55"/>
  <c r="D105" i="55" s="1"/>
  <c r="E92" i="83"/>
  <c r="D31" i="84"/>
  <c r="D31" i="72"/>
  <c r="D55" i="72" s="1"/>
  <c r="E85" i="81"/>
  <c r="D144" i="72"/>
  <c r="E94" i="83"/>
  <c r="D33" i="84"/>
  <c r="E250" i="53"/>
  <c r="E187" i="53"/>
  <c r="F260" i="55"/>
  <c r="D147" i="55"/>
  <c r="F206" i="55" s="1"/>
  <c r="E274" i="55"/>
  <c r="C161" i="55"/>
  <c r="E220" i="55" s="1"/>
  <c r="C135" i="55"/>
  <c r="E193" i="55" s="1"/>
  <c r="E248" i="55"/>
  <c r="F81" i="83"/>
  <c r="E20" i="84"/>
  <c r="E51" i="84" s="1"/>
  <c r="F261" i="55"/>
  <c r="D148" i="55"/>
  <c r="F207" i="55" s="1"/>
  <c r="G201" i="53"/>
  <c r="G134" i="53"/>
  <c r="G197" i="53"/>
  <c r="G130" i="53"/>
  <c r="B12" i="84"/>
  <c r="B42" i="84"/>
  <c r="F155" i="72"/>
  <c r="D70" i="72"/>
  <c r="F142" i="72" s="1"/>
  <c r="D71" i="72"/>
  <c r="D125" i="84"/>
  <c r="D142" i="84" s="1"/>
  <c r="F155" i="84" s="1"/>
  <c r="F163" i="84"/>
  <c r="F167" i="84"/>
  <c r="D126" i="84"/>
  <c r="D143" i="84" s="1"/>
  <c r="F156" i="84" s="1"/>
  <c r="F164" i="84"/>
  <c r="D124" i="84"/>
  <c r="D141" i="84" s="1"/>
  <c r="D28" i="72"/>
  <c r="D52" i="72" s="1"/>
  <c r="E82" i="81"/>
  <c r="D24" i="84"/>
  <c r="D55" i="84" s="1"/>
  <c r="E85" i="83"/>
  <c r="E79" i="81"/>
  <c r="D25" i="72"/>
  <c r="D49" i="72" s="1"/>
  <c r="E249" i="55"/>
  <c r="C136" i="55"/>
  <c r="E194" i="55" s="1"/>
  <c r="E57" i="83"/>
  <c r="D46" i="55"/>
  <c r="D103" i="55" s="1"/>
  <c r="G103" i="83"/>
  <c r="G34" i="53"/>
  <c r="G87" i="53" s="1"/>
  <c r="G240" i="53"/>
  <c r="G176" i="53"/>
  <c r="F278" i="55"/>
  <c r="D168" i="55"/>
  <c r="F227" i="55" s="1"/>
  <c r="G102" i="83"/>
  <c r="G33" i="53"/>
  <c r="G86" i="53" s="1"/>
  <c r="E58" i="83"/>
  <c r="D47" i="55"/>
  <c r="D104" i="55" s="1"/>
  <c r="H172" i="29"/>
  <c r="H157" i="29"/>
  <c r="H142" i="29"/>
  <c r="H127" i="29"/>
  <c r="H34" i="29"/>
  <c r="F48" i="81"/>
  <c r="E17" i="55"/>
  <c r="E74" i="55" s="1"/>
  <c r="E55" i="81"/>
  <c r="D24" i="55"/>
  <c r="D81" i="55" s="1"/>
  <c r="E116" i="53"/>
  <c r="E118" i="53"/>
  <c r="E273" i="55"/>
  <c r="C160" i="55"/>
  <c r="E219" i="55" s="1"/>
  <c r="E52" i="81"/>
  <c r="D21" i="55"/>
  <c r="D78" i="55" s="1"/>
  <c r="E37" i="84"/>
  <c r="E65" i="84" s="1"/>
  <c r="F98" i="83"/>
  <c r="C134" i="55"/>
  <c r="E192" i="55" s="1"/>
  <c r="E247" i="55"/>
  <c r="E141" i="72"/>
  <c r="D63" i="72"/>
  <c r="F153" i="72"/>
  <c r="D64" i="72"/>
  <c r="F120" i="83"/>
  <c r="F51" i="53"/>
  <c r="F104" i="53" s="1"/>
  <c r="G172" i="53" s="1"/>
  <c r="E267" i="55"/>
  <c r="C154" i="55"/>
  <c r="E213" i="55" s="1"/>
  <c r="E19" i="72"/>
  <c r="E43" i="72" s="1"/>
  <c r="F73" i="81"/>
  <c r="D160" i="72"/>
  <c r="E60" i="81"/>
  <c r="D29" i="55"/>
  <c r="D86" i="55" s="1"/>
  <c r="F74" i="81"/>
  <c r="E20" i="72"/>
  <c r="E44" i="72" s="1"/>
  <c r="H241" i="55"/>
  <c r="F128" i="55"/>
  <c r="H186" i="55" s="1"/>
  <c r="E77" i="81"/>
  <c r="D23" i="72"/>
  <c r="D47" i="72" s="1"/>
  <c r="E168" i="84"/>
  <c r="E169" i="84"/>
  <c r="E154" i="84"/>
  <c r="E159" i="84" s="1"/>
  <c r="F275" i="55"/>
  <c r="D165" i="55"/>
  <c r="F224" i="55" s="1"/>
  <c r="E272" i="55"/>
  <c r="C159" i="55"/>
  <c r="E218" i="55" s="1"/>
  <c r="E58" i="81"/>
  <c r="D27" i="55"/>
  <c r="D84" i="55" s="1"/>
  <c r="G159" i="53"/>
  <c r="G226" i="53"/>
  <c r="D122" i="55"/>
  <c r="F180" i="55" s="1"/>
  <c r="F235" i="55"/>
  <c r="G55" i="53"/>
  <c r="G108" i="53" s="1"/>
  <c r="G124" i="83"/>
  <c r="F70" i="83"/>
  <c r="E59" i="55"/>
  <c r="E116" i="55" s="1"/>
  <c r="F53" i="83"/>
  <c r="E42" i="55"/>
  <c r="E99" i="55" s="1"/>
  <c r="F45" i="81"/>
  <c r="E14" i="55"/>
  <c r="E71" i="55" s="1"/>
  <c r="G108" i="83"/>
  <c r="G39" i="53"/>
  <c r="G92" i="53" s="1"/>
  <c r="C131" i="55"/>
  <c r="E189" i="55" s="1"/>
  <c r="E244" i="55"/>
  <c r="F230" i="53"/>
  <c r="F163" i="53"/>
  <c r="F237" i="53"/>
  <c r="F170" i="53"/>
  <c r="G229" i="53"/>
  <c r="G162" i="53"/>
  <c r="F150" i="53"/>
  <c r="F217" i="53"/>
  <c r="E140" i="72"/>
  <c r="E51" i="81"/>
  <c r="D20" i="55"/>
  <c r="D77" i="55" s="1"/>
  <c r="F142" i="53"/>
  <c r="F209" i="53"/>
  <c r="F207" i="53"/>
  <c r="F140" i="53"/>
  <c r="F117" i="83"/>
  <c r="F48" i="53"/>
  <c r="F101" i="53" s="1"/>
  <c r="G228" i="53"/>
  <c r="G161" i="53"/>
  <c r="E245" i="53"/>
  <c r="E182" i="53"/>
  <c r="F49" i="83"/>
  <c r="E38" i="55"/>
  <c r="E95" i="55" s="1"/>
  <c r="E63" i="83"/>
  <c r="D52" i="55"/>
  <c r="D109" i="55" s="1"/>
  <c r="D32" i="84"/>
  <c r="E93" i="83"/>
  <c r="E57" i="81"/>
  <c r="D26" i="55"/>
  <c r="D83" i="55" s="1"/>
  <c r="F50" i="83"/>
  <c r="E39" i="55"/>
  <c r="E96" i="55" s="1"/>
  <c r="G96" i="81"/>
  <c r="G13" i="53"/>
  <c r="G66" i="53" s="1"/>
  <c r="E83" i="81"/>
  <c r="D29" i="72"/>
  <c r="D53" i="72" s="1"/>
  <c r="E161" i="72" l="1"/>
  <c r="B12" i="21"/>
  <c r="E160" i="72"/>
  <c r="F119" i="53"/>
  <c r="G188" i="53" s="1"/>
  <c r="E144" i="72"/>
  <c r="D148" i="72"/>
  <c r="E17" i="61"/>
  <c r="F254" i="53"/>
  <c r="F6" i="61"/>
  <c r="F15" i="61"/>
  <c r="E260" i="53" s="1"/>
  <c r="E191" i="53"/>
  <c r="F34" i="61" s="1"/>
  <c r="F116" i="53"/>
  <c r="G184" i="53" s="1"/>
  <c r="F253" i="53"/>
  <c r="E37" i="61"/>
  <c r="B9" i="21"/>
  <c r="I149" i="29"/>
  <c r="I179" i="29"/>
  <c r="I23" i="68"/>
  <c r="I45" i="29"/>
  <c r="I134" i="29"/>
  <c r="I164" i="29"/>
  <c r="G6" i="61"/>
  <c r="F93" i="83"/>
  <c r="E32" i="84"/>
  <c r="G260" i="55"/>
  <c r="E147" i="55"/>
  <c r="G206" i="55" s="1"/>
  <c r="D129" i="55"/>
  <c r="F187" i="55" s="1"/>
  <c r="F242" i="55"/>
  <c r="E123" i="55"/>
  <c r="G181" i="55" s="1"/>
  <c r="G236" i="55"/>
  <c r="D138" i="55"/>
  <c r="F196" i="55" s="1"/>
  <c r="F251" i="55"/>
  <c r="G51" i="53"/>
  <c r="G104" i="53" s="1"/>
  <c r="H172" i="53" s="1"/>
  <c r="G120" i="83"/>
  <c r="F55" i="81"/>
  <c r="E24" i="55"/>
  <c r="E81" i="55" s="1"/>
  <c r="H102" i="83"/>
  <c r="I33" i="53" s="1"/>
  <c r="I86" i="53" s="1"/>
  <c r="H33" i="53"/>
  <c r="H86" i="53" s="1"/>
  <c r="F57" i="83"/>
  <c r="E46" i="55"/>
  <c r="E103" i="55" s="1"/>
  <c r="E28" i="72"/>
  <c r="E52" i="72" s="1"/>
  <c r="F82" i="81"/>
  <c r="D165" i="84"/>
  <c r="E18" i="61" s="1"/>
  <c r="F9" i="61" s="1"/>
  <c r="D166" i="84"/>
  <c r="E31" i="84"/>
  <c r="F92" i="83"/>
  <c r="E68" i="55"/>
  <c r="H223" i="53"/>
  <c r="H156" i="53"/>
  <c r="G238" i="55"/>
  <c r="E125" i="55"/>
  <c r="G183" i="55" s="1"/>
  <c r="E23" i="55"/>
  <c r="E80" i="55" s="1"/>
  <c r="F54" i="81"/>
  <c r="G277" i="55"/>
  <c r="E167" i="55"/>
  <c r="G226" i="55" s="1"/>
  <c r="H93" i="81"/>
  <c r="I10" i="53" s="1"/>
  <c r="I63" i="53" s="1"/>
  <c r="H10" i="53"/>
  <c r="H63" i="53" s="1"/>
  <c r="G155" i="72"/>
  <c r="E70" i="72"/>
  <c r="G142" i="72" s="1"/>
  <c r="E71" i="72"/>
  <c r="G210" i="53"/>
  <c r="G143" i="53"/>
  <c r="G46" i="81"/>
  <c r="F15" i="55"/>
  <c r="F72" i="55" s="1"/>
  <c r="H229" i="53"/>
  <c r="H162" i="53"/>
  <c r="F233" i="55"/>
  <c r="D120" i="55"/>
  <c r="F247" i="55"/>
  <c r="D134" i="55"/>
  <c r="F192" i="55" s="1"/>
  <c r="F246" i="53"/>
  <c r="F183" i="53"/>
  <c r="H200" i="53"/>
  <c r="H133" i="53"/>
  <c r="G262" i="55"/>
  <c r="E149" i="55"/>
  <c r="G208" i="55" s="1"/>
  <c r="F141" i="72"/>
  <c r="G211" i="53"/>
  <c r="G144" i="53"/>
  <c r="F83" i="81"/>
  <c r="E29" i="72"/>
  <c r="E53" i="72" s="1"/>
  <c r="G49" i="83"/>
  <c r="F38" i="55"/>
  <c r="F95" i="55" s="1"/>
  <c r="F51" i="81"/>
  <c r="E20" i="55"/>
  <c r="E77" i="55" s="1"/>
  <c r="F14" i="55"/>
  <c r="F71" i="55" s="1"/>
  <c r="G45" i="81"/>
  <c r="G70" i="83"/>
  <c r="F59" i="55"/>
  <c r="F116" i="55" s="1"/>
  <c r="F249" i="55"/>
  <c r="D136" i="55"/>
  <c r="F194" i="55" s="1"/>
  <c r="F60" i="81"/>
  <c r="E29" i="55"/>
  <c r="E86" i="55" s="1"/>
  <c r="F52" i="81"/>
  <c r="E21" i="55"/>
  <c r="E78" i="55" s="1"/>
  <c r="F250" i="53"/>
  <c r="F187" i="53"/>
  <c r="G239" i="55"/>
  <c r="E126" i="55"/>
  <c r="G184" i="55" s="1"/>
  <c r="F269" i="55"/>
  <c r="D156" i="55"/>
  <c r="F215" i="55" s="1"/>
  <c r="H222" i="53"/>
  <c r="H155" i="53"/>
  <c r="F85" i="83"/>
  <c r="E24" i="84"/>
  <c r="E55" i="84" s="1"/>
  <c r="F118" i="53"/>
  <c r="G81" i="83"/>
  <c r="F20" i="84"/>
  <c r="F51" i="84" s="1"/>
  <c r="F85" i="81"/>
  <c r="E31" i="72"/>
  <c r="E55" i="72" s="1"/>
  <c r="F270" i="55"/>
  <c r="D157" i="55"/>
  <c r="F216" i="55" s="1"/>
  <c r="F266" i="55"/>
  <c r="D153" i="55"/>
  <c r="F212" i="55" s="1"/>
  <c r="G149" i="53"/>
  <c r="G216" i="53"/>
  <c r="E78" i="72"/>
  <c r="G154" i="72"/>
  <c r="E79" i="72"/>
  <c r="G42" i="81"/>
  <c r="F11" i="55"/>
  <c r="I157" i="29"/>
  <c r="I142" i="29"/>
  <c r="I127" i="29"/>
  <c r="I172" i="29"/>
  <c r="I34" i="29"/>
  <c r="D283" i="55"/>
  <c r="D282" i="55"/>
  <c r="H104" i="83"/>
  <c r="I35" i="53" s="1"/>
  <c r="I88" i="53" s="1"/>
  <c r="H35" i="53"/>
  <c r="H88" i="53" s="1"/>
  <c r="G47" i="81"/>
  <c r="F16" i="55"/>
  <c r="F73" i="55" s="1"/>
  <c r="M46" i="22"/>
  <c r="N43" i="22" s="1"/>
  <c r="F59" i="81"/>
  <c r="E28" i="55"/>
  <c r="E85" i="55" s="1"/>
  <c r="G167" i="53"/>
  <c r="G234" i="53"/>
  <c r="G110" i="81"/>
  <c r="G27" i="53"/>
  <c r="G80" i="53" s="1"/>
  <c r="F58" i="55"/>
  <c r="F115" i="55" s="1"/>
  <c r="G69" i="83"/>
  <c r="G78" i="83"/>
  <c r="F17" i="84"/>
  <c r="F48" i="84" s="1"/>
  <c r="H239" i="53"/>
  <c r="H175" i="53"/>
  <c r="G70" i="81"/>
  <c r="F16" i="72"/>
  <c r="F40" i="72" s="1"/>
  <c r="G68" i="83"/>
  <c r="F57" i="55"/>
  <c r="F114" i="55" s="1"/>
  <c r="G105" i="81"/>
  <c r="G22" i="53"/>
  <c r="G75" i="53" s="1"/>
  <c r="G107" i="81"/>
  <c r="G24" i="53"/>
  <c r="G77" i="53" s="1"/>
  <c r="G108" i="81"/>
  <c r="G25" i="53"/>
  <c r="G78" i="53" s="1"/>
  <c r="F35" i="84"/>
  <c r="F63" i="84" s="1"/>
  <c r="G96" i="83"/>
  <c r="E63" i="72"/>
  <c r="G153" i="72"/>
  <c r="E64" i="72"/>
  <c r="E157" i="72"/>
  <c r="E158" i="72"/>
  <c r="D32" i="72"/>
  <c r="G104" i="81"/>
  <c r="G21" i="53"/>
  <c r="G74" i="53" s="1"/>
  <c r="H110" i="83"/>
  <c r="I41" i="53" s="1"/>
  <c r="I94" i="53" s="1"/>
  <c r="H41" i="53"/>
  <c r="H94" i="53" s="1"/>
  <c r="G111" i="83"/>
  <c r="G42" i="53"/>
  <c r="G95" i="53" s="1"/>
  <c r="D33" i="55"/>
  <c r="G44" i="81"/>
  <c r="F13" i="55"/>
  <c r="F70" i="55" s="1"/>
  <c r="F84" i="81"/>
  <c r="E30" i="72"/>
  <c r="E54" i="72" s="1"/>
  <c r="C160" i="29"/>
  <c r="C145" i="29"/>
  <c r="C130" i="29"/>
  <c r="C175" i="29"/>
  <c r="C37" i="29"/>
  <c r="G275" i="55"/>
  <c r="E165" i="55"/>
  <c r="G224" i="55" s="1"/>
  <c r="I241" i="55"/>
  <c r="G128" i="55"/>
  <c r="I186" i="55" s="1"/>
  <c r="F56" i="83"/>
  <c r="E45" i="55"/>
  <c r="E102" i="55" s="1"/>
  <c r="F56" i="81"/>
  <c r="E25" i="55"/>
  <c r="E82" i="55" s="1"/>
  <c r="F62" i="83"/>
  <c r="E51" i="55"/>
  <c r="E108" i="55" s="1"/>
  <c r="F188" i="53"/>
  <c r="F251" i="53"/>
  <c r="F257" i="55"/>
  <c r="D144" i="55"/>
  <c r="F203" i="55" s="1"/>
  <c r="H95" i="81"/>
  <c r="I12" i="53" s="1"/>
  <c r="I65" i="53" s="1"/>
  <c r="H12" i="53"/>
  <c r="H65" i="53" s="1"/>
  <c r="H97" i="81"/>
  <c r="I14" i="53" s="1"/>
  <c r="I67" i="53" s="1"/>
  <c r="H14" i="53"/>
  <c r="H67" i="53" s="1"/>
  <c r="G51" i="83"/>
  <c r="F40" i="55"/>
  <c r="F97" i="55" s="1"/>
  <c r="G77" i="83"/>
  <c r="F16" i="84"/>
  <c r="F47" i="84" s="1"/>
  <c r="E125" i="84"/>
  <c r="E142" i="84" s="1"/>
  <c r="G155" i="84" s="1"/>
  <c r="G163" i="84"/>
  <c r="G167" i="84"/>
  <c r="G164" i="84"/>
  <c r="E124" i="84"/>
  <c r="E141" i="84" s="1"/>
  <c r="E126" i="84"/>
  <c r="E143" i="84" s="1"/>
  <c r="G156" i="84" s="1"/>
  <c r="G114" i="83"/>
  <c r="G45" i="53"/>
  <c r="G98" i="53" s="1"/>
  <c r="H92" i="81"/>
  <c r="I9" i="53" s="1"/>
  <c r="I62" i="53" s="1"/>
  <c r="H9" i="53"/>
  <c r="H62" i="53" s="1"/>
  <c r="H157" i="53"/>
  <c r="H224" i="53"/>
  <c r="G141" i="53"/>
  <c r="G208" i="53"/>
  <c r="F253" i="55"/>
  <c r="D140" i="55"/>
  <c r="F198" i="55" s="1"/>
  <c r="G106" i="81"/>
  <c r="G23" i="53"/>
  <c r="G76" i="53" s="1"/>
  <c r="F78" i="81"/>
  <c r="E24" i="72"/>
  <c r="E48" i="72" s="1"/>
  <c r="E47" i="61"/>
  <c r="B22" i="21"/>
  <c r="D274" i="53"/>
  <c r="D276" i="53" s="1"/>
  <c r="G278" i="55"/>
  <c r="E168" i="55"/>
  <c r="G227" i="55" s="1"/>
  <c r="D167" i="72"/>
  <c r="D169" i="72" s="1"/>
  <c r="D175" i="84"/>
  <c r="D177" i="84" s="1"/>
  <c r="F8" i="61"/>
  <c r="F13" i="72"/>
  <c r="G67" i="81"/>
  <c r="G48" i="83"/>
  <c r="F37" i="55"/>
  <c r="F94" i="55" s="1"/>
  <c r="D13" i="23"/>
  <c r="G46" i="83"/>
  <c r="F35" i="55"/>
  <c r="E27" i="84"/>
  <c r="E58" i="84" s="1"/>
  <c r="F88" i="83"/>
  <c r="E23" i="84"/>
  <c r="E54" i="84" s="1"/>
  <c r="F84" i="83"/>
  <c r="F89" i="83"/>
  <c r="E28" i="84"/>
  <c r="E59" i="84" s="1"/>
  <c r="G276" i="55"/>
  <c r="E166" i="55"/>
  <c r="G225" i="55" s="1"/>
  <c r="G213" i="53"/>
  <c r="G146" i="53"/>
  <c r="F49" i="22"/>
  <c r="E68" i="22"/>
  <c r="G209" i="53"/>
  <c r="G142" i="53"/>
  <c r="E25" i="84"/>
  <c r="E56" i="84" s="1"/>
  <c r="F86" i="83"/>
  <c r="F76" i="81"/>
  <c r="E22" i="72"/>
  <c r="E46" i="72" s="1"/>
  <c r="G235" i="55"/>
  <c r="E122" i="55"/>
  <c r="G180" i="55" s="1"/>
  <c r="F61" i="83"/>
  <c r="E50" i="55"/>
  <c r="E107" i="55" s="1"/>
  <c r="H125" i="83"/>
  <c r="I56" i="53" s="1"/>
  <c r="I109" i="53" s="1"/>
  <c r="H56" i="53"/>
  <c r="H109" i="53" s="1"/>
  <c r="F273" i="55"/>
  <c r="D160" i="55"/>
  <c r="F219" i="55" s="1"/>
  <c r="D61" i="55"/>
  <c r="H202" i="53"/>
  <c r="H135" i="53"/>
  <c r="G166" i="53"/>
  <c r="G233" i="53"/>
  <c r="G119" i="83"/>
  <c r="G50" i="53"/>
  <c r="G103" i="53" s="1"/>
  <c r="C129" i="29"/>
  <c r="C174" i="29"/>
  <c r="C36" i="29"/>
  <c r="C159" i="29"/>
  <c r="C144" i="29"/>
  <c r="H134" i="53"/>
  <c r="H201" i="53"/>
  <c r="G264" i="55"/>
  <c r="E151" i="55"/>
  <c r="G210" i="55" s="1"/>
  <c r="H124" i="83"/>
  <c r="I55" i="53" s="1"/>
  <c r="I108" i="53" s="1"/>
  <c r="H55" i="53"/>
  <c r="H108" i="53" s="1"/>
  <c r="F58" i="81"/>
  <c r="E27" i="55"/>
  <c r="E84" i="55" s="1"/>
  <c r="F152" i="72"/>
  <c r="D95" i="72"/>
  <c r="F139" i="72" s="1"/>
  <c r="D96" i="72"/>
  <c r="F37" i="84"/>
  <c r="F65" i="84" s="1"/>
  <c r="G98" i="83"/>
  <c r="F247" i="53"/>
  <c r="F184" i="53"/>
  <c r="G48" i="81"/>
  <c r="F17" i="55"/>
  <c r="F74" i="55" s="1"/>
  <c r="F58" i="83"/>
  <c r="E47" i="55"/>
  <c r="E104" i="55" s="1"/>
  <c r="H103" i="83"/>
  <c r="I34" i="53" s="1"/>
  <c r="I87" i="53" s="1"/>
  <c r="H34" i="53"/>
  <c r="H87" i="53" s="1"/>
  <c r="F168" i="84"/>
  <c r="F169" i="84"/>
  <c r="F154" i="84"/>
  <c r="F159" i="84" s="1"/>
  <c r="F114" i="53"/>
  <c r="E48" i="55"/>
  <c r="E105" i="55" s="1"/>
  <c r="F59" i="83"/>
  <c r="E44" i="55"/>
  <c r="E101" i="55" s="1"/>
  <c r="F55" i="83"/>
  <c r="G52" i="53"/>
  <c r="G105" i="53" s="1"/>
  <c r="H173" i="53" s="1"/>
  <c r="G121" i="83"/>
  <c r="G111" i="81"/>
  <c r="G28" i="53"/>
  <c r="G81" i="53" s="1"/>
  <c r="G72" i="81"/>
  <c r="F18" i="72"/>
  <c r="F42" i="72" s="1"/>
  <c r="G116" i="83"/>
  <c r="G47" i="53"/>
  <c r="G100" i="53" s="1"/>
  <c r="E139" i="55"/>
  <c r="G197" i="55" s="1"/>
  <c r="G252" i="55"/>
  <c r="F15" i="84"/>
  <c r="F46" i="84" s="1"/>
  <c r="G76" i="83"/>
  <c r="E127" i="55"/>
  <c r="G185" i="55" s="1"/>
  <c r="G240" i="55"/>
  <c r="D137" i="55"/>
  <c r="F195" i="55" s="1"/>
  <c r="F250" i="55"/>
  <c r="G115" i="83"/>
  <c r="G46" i="53"/>
  <c r="G99" i="53" s="1"/>
  <c r="H199" i="53"/>
  <c r="H132" i="53"/>
  <c r="G47" i="83"/>
  <c r="F36" i="55"/>
  <c r="F93" i="55" s="1"/>
  <c r="F67" i="22"/>
  <c r="G51" i="22"/>
  <c r="H54" i="53"/>
  <c r="H107" i="53" s="1"/>
  <c r="H123" i="83"/>
  <c r="I54" i="53" s="1"/>
  <c r="I107" i="53" s="1"/>
  <c r="F91" i="83"/>
  <c r="E30" i="84"/>
  <c r="E61" i="84" s="1"/>
  <c r="H158" i="53"/>
  <c r="H225" i="53"/>
  <c r="G206" i="53"/>
  <c r="G139" i="53"/>
  <c r="G265" i="55"/>
  <c r="E152" i="55"/>
  <c r="G211" i="55" s="1"/>
  <c r="E45" i="84"/>
  <c r="G234" i="55"/>
  <c r="E121" i="55"/>
  <c r="G179" i="55" s="1"/>
  <c r="G82" i="83"/>
  <c r="F21" i="84"/>
  <c r="F52" i="84" s="1"/>
  <c r="H204" i="53"/>
  <c r="H137" i="53"/>
  <c r="E159" i="72"/>
  <c r="E146" i="72"/>
  <c r="E148" i="72" s="1"/>
  <c r="H228" i="53"/>
  <c r="H161" i="53"/>
  <c r="G140" i="53"/>
  <c r="G207" i="53"/>
  <c r="G150" i="53"/>
  <c r="G217" i="53"/>
  <c r="G237" i="53"/>
  <c r="G170" i="53"/>
  <c r="D131" i="55"/>
  <c r="F189" i="55" s="1"/>
  <c r="F244" i="55"/>
  <c r="E29" i="84"/>
  <c r="E60" i="84" s="1"/>
  <c r="F90" i="83"/>
  <c r="H226" i="53"/>
  <c r="H159" i="53"/>
  <c r="G67" i="83"/>
  <c r="F56" i="55"/>
  <c r="F113" i="55" s="1"/>
  <c r="J241" i="55"/>
  <c r="H128" i="55"/>
  <c r="E284" i="55"/>
  <c r="E178" i="55"/>
  <c r="E285" i="55"/>
  <c r="M49" i="22"/>
  <c r="L68" i="22"/>
  <c r="G263" i="55"/>
  <c r="E150" i="55"/>
  <c r="G209" i="55" s="1"/>
  <c r="G232" i="53"/>
  <c r="G165" i="53"/>
  <c r="H105" i="83"/>
  <c r="I36" i="53" s="1"/>
  <c r="I89" i="53" s="1"/>
  <c r="H36" i="53"/>
  <c r="H89" i="53" s="1"/>
  <c r="G103" i="81"/>
  <c r="G20" i="53"/>
  <c r="G73" i="53" s="1"/>
  <c r="F62" i="81"/>
  <c r="E31" i="55"/>
  <c r="E88" i="55" s="1"/>
  <c r="F271" i="55"/>
  <c r="D158" i="55"/>
  <c r="F217" i="55" s="1"/>
  <c r="H203" i="53"/>
  <c r="H136" i="53"/>
  <c r="G261" i="55"/>
  <c r="E148" i="55"/>
  <c r="G207" i="55" s="1"/>
  <c r="D130" i="55"/>
  <c r="F188" i="55" s="1"/>
  <c r="F243" i="55"/>
  <c r="F79" i="81"/>
  <c r="E25" i="72"/>
  <c r="E49" i="72" s="1"/>
  <c r="H57" i="53"/>
  <c r="H110" i="53" s="1"/>
  <c r="H126" i="83"/>
  <c r="I57" i="53" s="1"/>
  <c r="I110" i="53" s="1"/>
  <c r="M38" i="22"/>
  <c r="M39" i="22" s="1"/>
  <c r="G215" i="53"/>
  <c r="G148" i="53"/>
  <c r="C10" i="55"/>
  <c r="C65" i="55"/>
  <c r="E200" i="55" s="1"/>
  <c r="G212" i="53"/>
  <c r="G145" i="53"/>
  <c r="G68" i="81"/>
  <c r="F14" i="72"/>
  <c r="F38" i="72" s="1"/>
  <c r="G230" i="53"/>
  <c r="G163" i="53"/>
  <c r="H20" i="21"/>
  <c r="K51" i="61"/>
  <c r="J45" i="42"/>
  <c r="J47" i="42" s="1"/>
  <c r="F267" i="55"/>
  <c r="D154" i="55"/>
  <c r="F213" i="55" s="1"/>
  <c r="G69" i="81"/>
  <c r="F15" i="72"/>
  <c r="F39" i="72" s="1"/>
  <c r="F34" i="84"/>
  <c r="F62" i="84" s="1"/>
  <c r="G95" i="83"/>
  <c r="H130" i="53"/>
  <c r="H197" i="53"/>
  <c r="C12" i="84"/>
  <c r="C42" i="84"/>
  <c r="G112" i="83"/>
  <c r="G43" i="53"/>
  <c r="G96" i="53" s="1"/>
  <c r="E259" i="53"/>
  <c r="F39" i="55"/>
  <c r="F96" i="55" s="1"/>
  <c r="G50" i="83"/>
  <c r="D135" i="55"/>
  <c r="F193" i="55" s="1"/>
  <c r="F248" i="55"/>
  <c r="F274" i="55"/>
  <c r="D161" i="55"/>
  <c r="F220" i="55" s="1"/>
  <c r="G236" i="53"/>
  <c r="G169" i="53"/>
  <c r="H227" i="53"/>
  <c r="H160" i="53"/>
  <c r="H96" i="81"/>
  <c r="I13" i="53" s="1"/>
  <c r="I66" i="53" s="1"/>
  <c r="H13" i="53"/>
  <c r="H66" i="53" s="1"/>
  <c r="F57" i="81"/>
  <c r="E26" i="55"/>
  <c r="E83" i="55" s="1"/>
  <c r="E52" i="55"/>
  <c r="E109" i="55" s="1"/>
  <c r="F63" i="83"/>
  <c r="G117" i="83"/>
  <c r="G48" i="53"/>
  <c r="G101" i="53" s="1"/>
  <c r="H108" i="83"/>
  <c r="I39" i="53" s="1"/>
  <c r="I92" i="53" s="1"/>
  <c r="H39" i="53"/>
  <c r="H92" i="53" s="1"/>
  <c r="G53" i="83"/>
  <c r="F42" i="55"/>
  <c r="F99" i="55" s="1"/>
  <c r="H240" i="53"/>
  <c r="H176" i="53"/>
  <c r="F39" i="61"/>
  <c r="C13" i="21"/>
  <c r="F77" i="81"/>
  <c r="E23" i="72"/>
  <c r="E47" i="72" s="1"/>
  <c r="F20" i="72"/>
  <c r="F44" i="72" s="1"/>
  <c r="G74" i="81"/>
  <c r="G73" i="81"/>
  <c r="F19" i="72"/>
  <c r="F43" i="72" s="1"/>
  <c r="F140" i="72"/>
  <c r="F144" i="72"/>
  <c r="F246" i="55"/>
  <c r="D133" i="55"/>
  <c r="F191" i="55" s="1"/>
  <c r="H221" i="53"/>
  <c r="H154" i="53"/>
  <c r="F268" i="55"/>
  <c r="D155" i="55"/>
  <c r="F214" i="55" s="1"/>
  <c r="F115" i="53"/>
  <c r="F94" i="83"/>
  <c r="E33" i="84"/>
  <c r="E37" i="72"/>
  <c r="H242" i="53"/>
  <c r="H178" i="53"/>
  <c r="D39" i="84"/>
  <c r="G235" i="53"/>
  <c r="G168" i="53"/>
  <c r="G61" i="81"/>
  <c r="F30" i="55"/>
  <c r="F87" i="55" s="1"/>
  <c r="G97" i="83"/>
  <c r="F36" i="84"/>
  <c r="F64" i="84" s="1"/>
  <c r="G259" i="55"/>
  <c r="E146" i="55"/>
  <c r="G205" i="55" s="1"/>
  <c r="F18" i="55"/>
  <c r="F75" i="55" s="1"/>
  <c r="G49" i="81"/>
  <c r="G71" i="81"/>
  <c r="F17" i="72"/>
  <c r="F41" i="72" s="1"/>
  <c r="F182" i="53"/>
  <c r="F245" i="53"/>
  <c r="O64" i="22"/>
  <c r="P61" i="22" s="1"/>
  <c r="F245" i="55"/>
  <c r="D132" i="55"/>
  <c r="F190" i="55" s="1"/>
  <c r="E92" i="55"/>
  <c r="Q56" i="22"/>
  <c r="Q57" i="22" s="1"/>
  <c r="Q58" i="22"/>
  <c r="H94" i="81"/>
  <c r="I11" i="53" s="1"/>
  <c r="I64" i="53" s="1"/>
  <c r="H11" i="53"/>
  <c r="H64" i="53" s="1"/>
  <c r="G258" i="55"/>
  <c r="E145" i="55"/>
  <c r="G204" i="55" s="1"/>
  <c r="H131" i="53"/>
  <c r="H198" i="53"/>
  <c r="H106" i="83"/>
  <c r="I37" i="53" s="1"/>
  <c r="I90" i="53" s="1"/>
  <c r="H37" i="53"/>
  <c r="H90" i="53" s="1"/>
  <c r="G101" i="81"/>
  <c r="G18" i="53"/>
  <c r="G71" i="53" s="1"/>
  <c r="F43" i="55"/>
  <c r="F100" i="55" s="1"/>
  <c r="G54" i="83"/>
  <c r="F14" i="84"/>
  <c r="G75" i="83"/>
  <c r="G43" i="81"/>
  <c r="F12" i="55"/>
  <c r="F69" i="55" s="1"/>
  <c r="F18" i="84"/>
  <c r="F49" i="84" s="1"/>
  <c r="G79" i="83"/>
  <c r="G122" i="83"/>
  <c r="G53" i="53"/>
  <c r="G106" i="53" s="1"/>
  <c r="H174" i="53" s="1"/>
  <c r="H99" i="81"/>
  <c r="I16" i="53" s="1"/>
  <c r="I69" i="53" s="1"/>
  <c r="H16" i="53"/>
  <c r="H69" i="53" s="1"/>
  <c r="G237" i="55"/>
  <c r="E124" i="55"/>
  <c r="G182" i="55" s="1"/>
  <c r="H109" i="83"/>
  <c r="I40" i="53" s="1"/>
  <c r="I93" i="53" s="1"/>
  <c r="H40" i="53"/>
  <c r="H93" i="53" s="1"/>
  <c r="G102" i="81"/>
  <c r="G19" i="53"/>
  <c r="G72" i="53" s="1"/>
  <c r="G112" i="81"/>
  <c r="G29" i="53"/>
  <c r="G82" i="53" s="1"/>
  <c r="G49" i="53"/>
  <c r="G102" i="53" s="1"/>
  <c r="G118" i="83"/>
  <c r="F53" i="81"/>
  <c r="E22" i="55"/>
  <c r="E79" i="55" s="1"/>
  <c r="H107" i="83"/>
  <c r="I38" i="53" s="1"/>
  <c r="I91" i="53" s="1"/>
  <c r="H38" i="53"/>
  <c r="H91" i="53" s="1"/>
  <c r="F272" i="55"/>
  <c r="D159" i="55"/>
  <c r="F218" i="55" s="1"/>
  <c r="F19" i="84"/>
  <c r="F50" i="84" s="1"/>
  <c r="G80" i="83"/>
  <c r="H177" i="53"/>
  <c r="H241" i="53"/>
  <c r="F80" i="81"/>
  <c r="E26" i="72"/>
  <c r="E50" i="72" s="1"/>
  <c r="F87" i="83"/>
  <c r="E26" i="84"/>
  <c r="E57" i="84" s="1"/>
  <c r="L66" i="22"/>
  <c r="C97" i="22" s="1"/>
  <c r="L51" i="22"/>
  <c r="G52" i="83"/>
  <c r="F41" i="55"/>
  <c r="F98" i="55" s="1"/>
  <c r="G113" i="83"/>
  <c r="G44" i="53"/>
  <c r="G97" i="53" s="1"/>
  <c r="F83" i="83"/>
  <c r="E22" i="84"/>
  <c r="E53" i="84" s="1"/>
  <c r="D229" i="55"/>
  <c r="F81" i="81"/>
  <c r="E27" i="72"/>
  <c r="E51" i="72" s="1"/>
  <c r="G231" i="53"/>
  <c r="G164" i="53"/>
  <c r="F60" i="83"/>
  <c r="E49" i="55"/>
  <c r="E106" i="55" s="1"/>
  <c r="H98" i="81"/>
  <c r="I15" i="53" s="1"/>
  <c r="I68" i="53" s="1"/>
  <c r="H15" i="53"/>
  <c r="H68" i="53" s="1"/>
  <c r="G238" i="53"/>
  <c r="G171" i="53"/>
  <c r="G251" i="53" l="1"/>
  <c r="G247" i="53"/>
  <c r="E262" i="53"/>
  <c r="J186" i="55"/>
  <c r="C12" i="21"/>
  <c r="D159" i="29" s="1"/>
  <c r="F191" i="53"/>
  <c r="G34" i="61" s="1"/>
  <c r="F160" i="72"/>
  <c r="G254" i="53"/>
  <c r="F17" i="61"/>
  <c r="E175" i="84" s="1"/>
  <c r="G15" i="61"/>
  <c r="F260" i="53" s="1"/>
  <c r="F37" i="61"/>
  <c r="C9" i="21"/>
  <c r="F22" i="84"/>
  <c r="F53" i="84" s="1"/>
  <c r="G83" i="83"/>
  <c r="E131" i="55"/>
  <c r="G189" i="55" s="1"/>
  <c r="G244" i="55"/>
  <c r="I228" i="53"/>
  <c r="I161" i="53"/>
  <c r="H139" i="53"/>
  <c r="H206" i="53"/>
  <c r="H74" i="81"/>
  <c r="H20" i="72" s="1"/>
  <c r="H44" i="72" s="1"/>
  <c r="G20" i="72"/>
  <c r="G44" i="72" s="1"/>
  <c r="G274" i="55"/>
  <c r="E161" i="55"/>
  <c r="G220" i="55" s="1"/>
  <c r="E165" i="84"/>
  <c r="F18" i="61" s="1"/>
  <c r="G9" i="61" s="1"/>
  <c r="E166" i="84"/>
  <c r="G15" i="72"/>
  <c r="G39" i="72" s="1"/>
  <c r="H69" i="81"/>
  <c r="H15" i="72" s="1"/>
  <c r="H39" i="72" s="1"/>
  <c r="H103" i="81"/>
  <c r="I20" i="53" s="1"/>
  <c r="I73" i="53" s="1"/>
  <c r="H20" i="53"/>
  <c r="H73" i="53" s="1"/>
  <c r="G90" i="83"/>
  <c r="F29" i="84"/>
  <c r="F60" i="84" s="1"/>
  <c r="H51" i="22"/>
  <c r="G67" i="22"/>
  <c r="H235" i="53"/>
  <c r="H168" i="53"/>
  <c r="G55" i="83"/>
  <c r="F44" i="55"/>
  <c r="F101" i="55" s="1"/>
  <c r="I202" i="53"/>
  <c r="I135" i="53"/>
  <c r="G267" i="55"/>
  <c r="E154" i="55"/>
  <c r="G213" i="55" s="1"/>
  <c r="J229" i="53"/>
  <c r="J162" i="53"/>
  <c r="G140" i="72"/>
  <c r="H70" i="81"/>
  <c r="H16" i="72" s="1"/>
  <c r="H40" i="72" s="1"/>
  <c r="G16" i="72"/>
  <c r="G40" i="72" s="1"/>
  <c r="G59" i="81"/>
  <c r="F28" i="55"/>
  <c r="F85" i="55" s="1"/>
  <c r="F123" i="55"/>
  <c r="H181" i="55" s="1"/>
  <c r="H236" i="55"/>
  <c r="G54" i="81"/>
  <c r="F23" i="55"/>
  <c r="F80" i="55" s="1"/>
  <c r="F31" i="84"/>
  <c r="G92" i="83"/>
  <c r="G31" i="84" s="1"/>
  <c r="I221" i="53"/>
  <c r="I154" i="53"/>
  <c r="G60" i="83"/>
  <c r="F49" i="55"/>
  <c r="F106" i="55" s="1"/>
  <c r="G81" i="81"/>
  <c r="F27" i="72"/>
  <c r="F51" i="72" s="1"/>
  <c r="H165" i="53"/>
  <c r="H232" i="53"/>
  <c r="L67" i="22"/>
  <c r="F26" i="84"/>
  <c r="F57" i="84" s="1"/>
  <c r="G87" i="83"/>
  <c r="F22" i="55"/>
  <c r="F79" i="55" s="1"/>
  <c r="G53" i="81"/>
  <c r="H112" i="81"/>
  <c r="I29" i="53" s="1"/>
  <c r="I82" i="53" s="1"/>
  <c r="H29" i="53"/>
  <c r="H82" i="53" s="1"/>
  <c r="J228" i="53"/>
  <c r="J161" i="53"/>
  <c r="J204" i="53"/>
  <c r="J137" i="53"/>
  <c r="F45" i="84"/>
  <c r="H101" i="81"/>
  <c r="I18" i="53" s="1"/>
  <c r="I71" i="53" s="1"/>
  <c r="H18" i="53"/>
  <c r="H71" i="53" s="1"/>
  <c r="F139" i="55"/>
  <c r="H197" i="55" s="1"/>
  <c r="H252" i="55"/>
  <c r="D12" i="84"/>
  <c r="D42" i="84"/>
  <c r="E32" i="72"/>
  <c r="G246" i="53"/>
  <c r="G183" i="53"/>
  <c r="H264" i="55"/>
  <c r="F151" i="55"/>
  <c r="H210" i="55" s="1"/>
  <c r="H236" i="53"/>
  <c r="H169" i="53"/>
  <c r="E135" i="55"/>
  <c r="G193" i="55" s="1"/>
  <c r="G248" i="55"/>
  <c r="H50" i="83"/>
  <c r="H39" i="55" s="1"/>
  <c r="H96" i="55" s="1"/>
  <c r="G39" i="55"/>
  <c r="G96" i="55" s="1"/>
  <c r="H231" i="53"/>
  <c r="H164" i="53"/>
  <c r="G118" i="53"/>
  <c r="G119" i="53"/>
  <c r="H164" i="84"/>
  <c r="F124" i="84"/>
  <c r="F141" i="84" s="1"/>
  <c r="F126" i="84"/>
  <c r="F143" i="84" s="1"/>
  <c r="H156" i="84" s="1"/>
  <c r="F125" i="84"/>
  <c r="F142" i="84" s="1"/>
  <c r="H155" i="84" s="1"/>
  <c r="H163" i="84"/>
  <c r="H167" i="84"/>
  <c r="G14" i="72"/>
  <c r="G38" i="72" s="1"/>
  <c r="H68" i="81"/>
  <c r="H14" i="72" s="1"/>
  <c r="H38" i="72" s="1"/>
  <c r="E282" i="55"/>
  <c r="E283" i="55"/>
  <c r="M40" i="22"/>
  <c r="N37" i="22" s="1"/>
  <c r="G253" i="55"/>
  <c r="E140" i="55"/>
  <c r="G198" i="55" s="1"/>
  <c r="I157" i="53"/>
  <c r="I224" i="53"/>
  <c r="G253" i="53"/>
  <c r="M65" i="22"/>
  <c r="M50" i="22"/>
  <c r="M66" i="22" s="1"/>
  <c r="D97" i="22" s="1"/>
  <c r="G56" i="55"/>
  <c r="G113" i="55" s="1"/>
  <c r="H67" i="83"/>
  <c r="H56" i="55" s="1"/>
  <c r="H113" i="55" s="1"/>
  <c r="H82" i="83"/>
  <c r="H21" i="84" s="1"/>
  <c r="H52" i="84" s="1"/>
  <c r="G21" i="84"/>
  <c r="G52" i="84" s="1"/>
  <c r="F30" i="84"/>
  <c r="F61" i="84" s="1"/>
  <c r="G91" i="83"/>
  <c r="H116" i="83"/>
  <c r="I47" i="53" s="1"/>
  <c r="I100" i="53" s="1"/>
  <c r="H47" i="53"/>
  <c r="H100" i="53" s="1"/>
  <c r="H111" i="81"/>
  <c r="I28" i="53" s="1"/>
  <c r="I81" i="53" s="1"/>
  <c r="H28" i="53"/>
  <c r="H81" i="53" s="1"/>
  <c r="G266" i="55"/>
  <c r="E153" i="55"/>
  <c r="G212" i="55" s="1"/>
  <c r="G58" i="83"/>
  <c r="F47" i="55"/>
  <c r="F104" i="55" s="1"/>
  <c r="I176" i="53"/>
  <c r="I240" i="53"/>
  <c r="H119" i="83"/>
  <c r="I50" i="53" s="1"/>
  <c r="I103" i="53" s="1"/>
  <c r="H50" i="53"/>
  <c r="H103" i="53" s="1"/>
  <c r="I241" i="53"/>
  <c r="I177" i="53"/>
  <c r="G86" i="83"/>
  <c r="F25" i="84"/>
  <c r="F56" i="84" s="1"/>
  <c r="F23" i="84"/>
  <c r="F54" i="84" s="1"/>
  <c r="G84" i="83"/>
  <c r="F92" i="55"/>
  <c r="H259" i="55"/>
  <c r="F146" i="55"/>
  <c r="H205" i="55" s="1"/>
  <c r="E166" i="72"/>
  <c r="E174" i="84"/>
  <c r="G78" i="81"/>
  <c r="F24" i="72"/>
  <c r="F48" i="72" s="1"/>
  <c r="H114" i="83"/>
  <c r="I45" i="53" s="1"/>
  <c r="I98" i="53" s="1"/>
  <c r="H45" i="53"/>
  <c r="H98" i="53" s="1"/>
  <c r="G16" i="84"/>
  <c r="G47" i="84" s="1"/>
  <c r="H77" i="83"/>
  <c r="H16" i="84" s="1"/>
  <c r="H47" i="84" s="1"/>
  <c r="J202" i="53"/>
  <c r="J135" i="53"/>
  <c r="G62" i="83"/>
  <c r="F51" i="55"/>
  <c r="F108" i="55" s="1"/>
  <c r="G56" i="83"/>
  <c r="F45" i="55"/>
  <c r="F102" i="55" s="1"/>
  <c r="G84" i="81"/>
  <c r="F30" i="72"/>
  <c r="F54" i="72" s="1"/>
  <c r="H230" i="53"/>
  <c r="H163" i="53"/>
  <c r="H209" i="53"/>
  <c r="H142" i="53"/>
  <c r="G35" i="84"/>
  <c r="G63" i="84" s="1"/>
  <c r="H96" i="83"/>
  <c r="H35" i="84" s="1"/>
  <c r="H63" i="84" s="1"/>
  <c r="H212" i="53"/>
  <c r="H145" i="53"/>
  <c r="H276" i="55"/>
  <c r="F166" i="55"/>
  <c r="H225" i="55" s="1"/>
  <c r="H69" i="83"/>
  <c r="H58" i="55" s="1"/>
  <c r="H115" i="55" s="1"/>
  <c r="G58" i="55"/>
  <c r="G115" i="55" s="1"/>
  <c r="N44" i="22"/>
  <c r="N45" i="22" s="1"/>
  <c r="J223" i="53"/>
  <c r="J156" i="53"/>
  <c r="F68" i="55"/>
  <c r="G141" i="72"/>
  <c r="G85" i="81"/>
  <c r="F31" i="72"/>
  <c r="F55" i="72" s="1"/>
  <c r="G251" i="55"/>
  <c r="E138" i="55"/>
  <c r="G196" i="55" s="1"/>
  <c r="H278" i="55"/>
  <c r="F168" i="55"/>
  <c r="H227" i="55" s="1"/>
  <c r="G242" i="55"/>
  <c r="E129" i="55"/>
  <c r="G187" i="55" s="1"/>
  <c r="F284" i="55"/>
  <c r="F285" i="55"/>
  <c r="F178" i="55"/>
  <c r="F124" i="55"/>
  <c r="H182" i="55" s="1"/>
  <c r="H237" i="55"/>
  <c r="J198" i="53"/>
  <c r="J131" i="53"/>
  <c r="G245" i="55"/>
  <c r="E132" i="55"/>
  <c r="G190" i="55" s="1"/>
  <c r="J221" i="53"/>
  <c r="J154" i="53"/>
  <c r="D174" i="29"/>
  <c r="D144" i="29"/>
  <c r="D129" i="29"/>
  <c r="D36" i="29"/>
  <c r="G271" i="55"/>
  <c r="E158" i="55"/>
  <c r="G217" i="55" s="1"/>
  <c r="G41" i="55"/>
  <c r="G98" i="55" s="1"/>
  <c r="H52" i="83"/>
  <c r="H41" i="55" s="1"/>
  <c r="H98" i="55" s="1"/>
  <c r="H217" i="53"/>
  <c r="H150" i="53"/>
  <c r="H79" i="83"/>
  <c r="H18" i="84" s="1"/>
  <c r="H49" i="84" s="1"/>
  <c r="G18" i="84"/>
  <c r="G49" i="84" s="1"/>
  <c r="H97" i="83"/>
  <c r="H36" i="84" s="1"/>
  <c r="H64" i="84" s="1"/>
  <c r="G36" i="84"/>
  <c r="G64" i="84" s="1"/>
  <c r="D175" i="29"/>
  <c r="D160" i="29"/>
  <c r="D145" i="29"/>
  <c r="D130" i="29"/>
  <c r="D37" i="29"/>
  <c r="J201" i="53"/>
  <c r="J134" i="53"/>
  <c r="H275" i="55"/>
  <c r="F165" i="55"/>
  <c r="H224" i="55" s="1"/>
  <c r="E39" i="84"/>
  <c r="H149" i="53"/>
  <c r="H216" i="53"/>
  <c r="H166" i="53"/>
  <c r="H233" i="53"/>
  <c r="G273" i="55"/>
  <c r="E160" i="55"/>
  <c r="G219" i="55" s="1"/>
  <c r="D10" i="55"/>
  <c r="D65" i="55"/>
  <c r="F200" i="55" s="1"/>
  <c r="H108" i="81"/>
  <c r="I25" i="53" s="1"/>
  <c r="I78" i="53" s="1"/>
  <c r="H25" i="53"/>
  <c r="H78" i="53" s="1"/>
  <c r="H78" i="83"/>
  <c r="H17" i="84" s="1"/>
  <c r="H48" i="84" s="1"/>
  <c r="G17" i="84"/>
  <c r="G48" i="84" s="1"/>
  <c r="I156" i="53"/>
  <c r="I223" i="53"/>
  <c r="I198" i="53"/>
  <c r="I131" i="53"/>
  <c r="G82" i="81"/>
  <c r="F28" i="72"/>
  <c r="F52" i="72" s="1"/>
  <c r="H51" i="53"/>
  <c r="H104" i="53" s="1"/>
  <c r="I172" i="53" s="1"/>
  <c r="H120" i="83"/>
  <c r="I51" i="53" s="1"/>
  <c r="I104" i="53" s="1"/>
  <c r="J172" i="53" s="1"/>
  <c r="I203" i="53"/>
  <c r="I136" i="53"/>
  <c r="E36" i="61"/>
  <c r="E41" i="61" s="1"/>
  <c r="B8" i="21"/>
  <c r="H113" i="83"/>
  <c r="I44" i="53" s="1"/>
  <c r="I97" i="53" s="1"/>
  <c r="H44" i="53"/>
  <c r="H97" i="53" s="1"/>
  <c r="H80" i="83"/>
  <c r="H19" i="84" s="1"/>
  <c r="H50" i="84" s="1"/>
  <c r="G19" i="84"/>
  <c r="G50" i="84" s="1"/>
  <c r="I226" i="53"/>
  <c r="I159" i="53"/>
  <c r="H118" i="83"/>
  <c r="I49" i="53" s="1"/>
  <c r="I102" i="53" s="1"/>
  <c r="H49" i="53"/>
  <c r="H102" i="53" s="1"/>
  <c r="H140" i="53"/>
  <c r="H207" i="53"/>
  <c r="H234" i="55"/>
  <c r="F121" i="55"/>
  <c r="H179" i="55" s="1"/>
  <c r="H54" i="83"/>
  <c r="H43" i="55" s="1"/>
  <c r="H100" i="55" s="1"/>
  <c r="G43" i="55"/>
  <c r="G100" i="55" s="1"/>
  <c r="I225" i="53"/>
  <c r="I158" i="53"/>
  <c r="I199" i="53"/>
  <c r="I132" i="53"/>
  <c r="E61" i="55"/>
  <c r="P62" i="22"/>
  <c r="P63" i="22" s="1"/>
  <c r="H71" i="81"/>
  <c r="H17" i="72" s="1"/>
  <c r="H41" i="72" s="1"/>
  <c r="G17" i="72"/>
  <c r="G41" i="72" s="1"/>
  <c r="G30" i="55"/>
  <c r="G87" i="55" s="1"/>
  <c r="H61" i="81"/>
  <c r="H30" i="55" s="1"/>
  <c r="H87" i="55" s="1"/>
  <c r="G152" i="72"/>
  <c r="E95" i="72"/>
  <c r="G139" i="72" s="1"/>
  <c r="E96" i="72"/>
  <c r="G42" i="55"/>
  <c r="G99" i="55" s="1"/>
  <c r="H53" i="83"/>
  <c r="H42" i="55" s="1"/>
  <c r="H99" i="55" s="1"/>
  <c r="H48" i="53"/>
  <c r="H101" i="53" s="1"/>
  <c r="H117" i="83"/>
  <c r="I48" i="53" s="1"/>
  <c r="I101" i="53" s="1"/>
  <c r="G57" i="81"/>
  <c r="F26" i="55"/>
  <c r="F83" i="55" s="1"/>
  <c r="H261" i="55"/>
  <c r="F148" i="55"/>
  <c r="H207" i="55" s="1"/>
  <c r="H112" i="83"/>
  <c r="I43" i="53" s="1"/>
  <c r="I96" i="53" s="1"/>
  <c r="H43" i="53"/>
  <c r="H96" i="53" s="1"/>
  <c r="G115" i="53"/>
  <c r="G116" i="53"/>
  <c r="J242" i="53"/>
  <c r="J178" i="53"/>
  <c r="G62" i="81"/>
  <c r="F31" i="55"/>
  <c r="F88" i="55" s="1"/>
  <c r="J224" i="53"/>
  <c r="J157" i="53"/>
  <c r="J239" i="53"/>
  <c r="J175" i="53"/>
  <c r="H258" i="55"/>
  <c r="F145" i="55"/>
  <c r="H204" i="55" s="1"/>
  <c r="H234" i="53"/>
  <c r="H167" i="53"/>
  <c r="H154" i="72"/>
  <c r="F78" i="72"/>
  <c r="F79" i="72"/>
  <c r="H121" i="83"/>
  <c r="I52" i="53" s="1"/>
  <c r="I105" i="53" s="1"/>
  <c r="J173" i="53" s="1"/>
  <c r="H52" i="53"/>
  <c r="H105" i="53" s="1"/>
  <c r="I173" i="53" s="1"/>
  <c r="G59" i="83"/>
  <c r="F48" i="55"/>
  <c r="F105" i="55" s="1"/>
  <c r="I222" i="53"/>
  <c r="I155" i="53"/>
  <c r="H239" i="55"/>
  <c r="F126" i="55"/>
  <c r="H184" i="55" s="1"/>
  <c r="H98" i="83"/>
  <c r="H37" i="84" s="1"/>
  <c r="H65" i="84" s="1"/>
  <c r="G37" i="84"/>
  <c r="G65" i="84" s="1"/>
  <c r="J240" i="53"/>
  <c r="J176" i="53"/>
  <c r="J241" i="53"/>
  <c r="J177" i="53"/>
  <c r="F52" i="22"/>
  <c r="F65" i="22"/>
  <c r="E13" i="69" s="1"/>
  <c r="E15" i="69" s="1"/>
  <c r="H46" i="83"/>
  <c r="H35" i="55" s="1"/>
  <c r="G35" i="55"/>
  <c r="G37" i="55"/>
  <c r="G94" i="55" s="1"/>
  <c r="H48" i="83"/>
  <c r="H37" i="55" s="1"/>
  <c r="H94" i="55" s="1"/>
  <c r="E52" i="61"/>
  <c r="B23" i="21"/>
  <c r="D186" i="84"/>
  <c r="D188" i="84" s="1"/>
  <c r="H211" i="53"/>
  <c r="H144" i="53"/>
  <c r="I197" i="53"/>
  <c r="I130" i="53"/>
  <c r="H262" i="55"/>
  <c r="F149" i="55"/>
  <c r="H208" i="55" s="1"/>
  <c r="I133" i="53"/>
  <c r="I200" i="53"/>
  <c r="G247" i="55"/>
  <c r="E134" i="55"/>
  <c r="G192" i="55" s="1"/>
  <c r="H235" i="55"/>
  <c r="F122" i="55"/>
  <c r="H180" i="55" s="1"/>
  <c r="H111" i="83"/>
  <c r="I42" i="53" s="1"/>
  <c r="I95" i="53" s="1"/>
  <c r="H42" i="53"/>
  <c r="H95" i="53" s="1"/>
  <c r="H104" i="81"/>
  <c r="I21" i="53" s="1"/>
  <c r="I74" i="53" s="1"/>
  <c r="H21" i="53"/>
  <c r="H74" i="53" s="1"/>
  <c r="H107" i="81"/>
  <c r="I24" i="53" s="1"/>
  <c r="I77" i="53" s="1"/>
  <c r="H24" i="53"/>
  <c r="H77" i="53" s="1"/>
  <c r="G57" i="55"/>
  <c r="G114" i="55" s="1"/>
  <c r="H68" i="83"/>
  <c r="H57" i="55" s="1"/>
  <c r="H114" i="55" s="1"/>
  <c r="H277" i="55"/>
  <c r="F167" i="55"/>
  <c r="H226" i="55" s="1"/>
  <c r="H238" i="55"/>
  <c r="F125" i="55"/>
  <c r="H183" i="55" s="1"/>
  <c r="E16" i="61"/>
  <c r="H42" i="81"/>
  <c r="H11" i="55" s="1"/>
  <c r="G11" i="55"/>
  <c r="G85" i="83"/>
  <c r="F24" i="84"/>
  <c r="F55" i="84" s="1"/>
  <c r="G60" i="81"/>
  <c r="F29" i="55"/>
  <c r="F86" i="55" s="1"/>
  <c r="H70" i="83"/>
  <c r="H59" i="55" s="1"/>
  <c r="H116" i="55" s="1"/>
  <c r="G59" i="55"/>
  <c r="G116" i="55" s="1"/>
  <c r="G51" i="81"/>
  <c r="F20" i="55"/>
  <c r="F77" i="55" s="1"/>
  <c r="F29" i="72"/>
  <c r="F53" i="72" s="1"/>
  <c r="G83" i="81"/>
  <c r="H46" i="81"/>
  <c r="H15" i="55" s="1"/>
  <c r="H72" i="55" s="1"/>
  <c r="G15" i="55"/>
  <c r="G72" i="55" s="1"/>
  <c r="G233" i="55"/>
  <c r="E120" i="55"/>
  <c r="G268" i="55"/>
  <c r="E155" i="55"/>
  <c r="G214" i="55" s="1"/>
  <c r="E133" i="55"/>
  <c r="G191" i="55" s="1"/>
  <c r="G246" i="55"/>
  <c r="C171" i="29"/>
  <c r="C156" i="29"/>
  <c r="C141" i="29"/>
  <c r="C126" i="29"/>
  <c r="C33" i="29"/>
  <c r="I204" i="53"/>
  <c r="I137" i="53"/>
  <c r="H75" i="83"/>
  <c r="H14" i="84" s="1"/>
  <c r="G14" i="84"/>
  <c r="H240" i="55"/>
  <c r="F127" i="55"/>
  <c r="H185" i="55" s="1"/>
  <c r="J227" i="53"/>
  <c r="J160" i="53"/>
  <c r="F47" i="61"/>
  <c r="C22" i="21"/>
  <c r="E274" i="53"/>
  <c r="E276" i="53" s="1"/>
  <c r="H95" i="83"/>
  <c r="H34" i="84" s="1"/>
  <c r="H62" i="84" s="1"/>
  <c r="G34" i="84"/>
  <c r="G62" i="84" s="1"/>
  <c r="H153" i="72"/>
  <c r="F63" i="72"/>
  <c r="F64" i="72"/>
  <c r="H76" i="83"/>
  <c r="H15" i="84" s="1"/>
  <c r="H46" i="84" s="1"/>
  <c r="G15" i="84"/>
  <c r="G46" i="84" s="1"/>
  <c r="G182" i="53"/>
  <c r="G245" i="53"/>
  <c r="G269" i="55"/>
  <c r="E156" i="55"/>
  <c r="G215" i="55" s="1"/>
  <c r="G58" i="81"/>
  <c r="F27" i="55"/>
  <c r="F84" i="55" s="1"/>
  <c r="H238" i="53"/>
  <c r="H171" i="53"/>
  <c r="G61" i="83"/>
  <c r="F50" i="55"/>
  <c r="F107" i="55" s="1"/>
  <c r="G76" i="81"/>
  <c r="F22" i="72"/>
  <c r="F46" i="72" s="1"/>
  <c r="G89" i="83"/>
  <c r="F28" i="84"/>
  <c r="F59" i="84" s="1"/>
  <c r="F37" i="72"/>
  <c r="H105" i="81"/>
  <c r="I22" i="53" s="1"/>
  <c r="I75" i="53" s="1"/>
  <c r="H22" i="53"/>
  <c r="H75" i="53" s="1"/>
  <c r="H110" i="81"/>
  <c r="I27" i="53" s="1"/>
  <c r="I80" i="53" s="1"/>
  <c r="H27" i="53"/>
  <c r="H80" i="53" s="1"/>
  <c r="G250" i="53"/>
  <c r="G187" i="53"/>
  <c r="G52" i="81"/>
  <c r="F21" i="55"/>
  <c r="F78" i="55" s="1"/>
  <c r="G38" i="55"/>
  <c r="G95" i="55" s="1"/>
  <c r="H49" i="83"/>
  <c r="H38" i="55" s="1"/>
  <c r="H95" i="55" s="1"/>
  <c r="J203" i="53"/>
  <c r="J136" i="53"/>
  <c r="H263" i="55"/>
  <c r="F150" i="55"/>
  <c r="H209" i="55" s="1"/>
  <c r="G80" i="81"/>
  <c r="F26" i="72"/>
  <c r="F50" i="72" s="1"/>
  <c r="J226" i="53"/>
  <c r="J159" i="53"/>
  <c r="H237" i="53"/>
  <c r="H170" i="53"/>
  <c r="H102" i="81"/>
  <c r="I19" i="53" s="1"/>
  <c r="I72" i="53" s="1"/>
  <c r="H19" i="53"/>
  <c r="H72" i="53" s="1"/>
  <c r="H53" i="53"/>
  <c r="H106" i="53" s="1"/>
  <c r="I174" i="53" s="1"/>
  <c r="H122" i="83"/>
  <c r="I53" i="53" s="1"/>
  <c r="I106" i="53" s="1"/>
  <c r="J174" i="53" s="1"/>
  <c r="H43" i="81"/>
  <c r="H12" i="55" s="1"/>
  <c r="H69" i="55" s="1"/>
  <c r="G12" i="55"/>
  <c r="G69" i="55" s="1"/>
  <c r="H265" i="55"/>
  <c r="F152" i="55"/>
  <c r="H211" i="55" s="1"/>
  <c r="J225" i="53"/>
  <c r="J158" i="53"/>
  <c r="J199" i="53"/>
  <c r="J132" i="53"/>
  <c r="G257" i="55"/>
  <c r="E144" i="55"/>
  <c r="G203" i="55" s="1"/>
  <c r="G18" i="55"/>
  <c r="G75" i="55" s="1"/>
  <c r="H49" i="81"/>
  <c r="H18" i="55" s="1"/>
  <c r="H75" i="55" s="1"/>
  <c r="G94" i="83"/>
  <c r="G33" i="84" s="1"/>
  <c r="F33" i="84"/>
  <c r="G19" i="72"/>
  <c r="G43" i="72" s="1"/>
  <c r="H73" i="81"/>
  <c r="H19" i="72" s="1"/>
  <c r="H43" i="72" s="1"/>
  <c r="F23" i="72"/>
  <c r="F47" i="72" s="1"/>
  <c r="G77" i="81"/>
  <c r="I160" i="53"/>
  <c r="I227" i="53"/>
  <c r="G63" i="83"/>
  <c r="F52" i="55"/>
  <c r="F109" i="55" s="1"/>
  <c r="I134" i="53"/>
  <c r="I201" i="53"/>
  <c r="G114" i="53"/>
  <c r="I242" i="53"/>
  <c r="I178" i="53"/>
  <c r="G79" i="81"/>
  <c r="F25" i="72"/>
  <c r="F49" i="72" s="1"/>
  <c r="H208" i="53"/>
  <c r="H141" i="53"/>
  <c r="E229" i="55"/>
  <c r="I239" i="53"/>
  <c r="I175" i="53"/>
  <c r="H47" i="83"/>
  <c r="H36" i="55" s="1"/>
  <c r="H93" i="55" s="1"/>
  <c r="G36" i="55"/>
  <c r="G93" i="55" s="1"/>
  <c r="H115" i="83"/>
  <c r="I46" i="53" s="1"/>
  <c r="I99" i="53" s="1"/>
  <c r="H46" i="53"/>
  <c r="H99" i="53" s="1"/>
  <c r="H72" i="81"/>
  <c r="H18" i="72" s="1"/>
  <c r="H42" i="72" s="1"/>
  <c r="G18" i="72"/>
  <c r="G42" i="72" s="1"/>
  <c r="G270" i="55"/>
  <c r="E157" i="55"/>
  <c r="G216" i="55" s="1"/>
  <c r="G39" i="61"/>
  <c r="D13" i="21"/>
  <c r="J222" i="53"/>
  <c r="J155" i="53"/>
  <c r="H48" i="81"/>
  <c r="H17" i="55" s="1"/>
  <c r="H74" i="55" s="1"/>
  <c r="G17" i="55"/>
  <c r="G74" i="55" s="1"/>
  <c r="G249" i="55"/>
  <c r="E136" i="55"/>
  <c r="G194" i="55" s="1"/>
  <c r="G272" i="55"/>
  <c r="E159" i="55"/>
  <c r="G218" i="55" s="1"/>
  <c r="F27" i="84"/>
  <c r="F58" i="84" s="1"/>
  <c r="G88" i="83"/>
  <c r="F13" i="23"/>
  <c r="E13" i="23" s="1"/>
  <c r="H67" i="81"/>
  <c r="H13" i="72" s="1"/>
  <c r="G13" i="72"/>
  <c r="E50" i="61"/>
  <c r="B19" i="21"/>
  <c r="D178" i="72"/>
  <c r="D180" i="72" s="1"/>
  <c r="H106" i="81"/>
  <c r="I23" i="53" s="1"/>
  <c r="I76" i="53" s="1"/>
  <c r="H23" i="53"/>
  <c r="H76" i="53" s="1"/>
  <c r="J197" i="53"/>
  <c r="J130" i="53"/>
  <c r="G169" i="84"/>
  <c r="G154" i="84"/>
  <c r="G159" i="84" s="1"/>
  <c r="G168" i="84"/>
  <c r="H51" i="83"/>
  <c r="H40" i="55" s="1"/>
  <c r="H97" i="55" s="1"/>
  <c r="G40" i="55"/>
  <c r="G97" i="55" s="1"/>
  <c r="J200" i="53"/>
  <c r="J133" i="53"/>
  <c r="G56" i="81"/>
  <c r="F25" i="55"/>
  <c r="F82" i="55" s="1"/>
  <c r="G13" i="55"/>
  <c r="G70" i="55" s="1"/>
  <c r="H44" i="81"/>
  <c r="H13" i="55" s="1"/>
  <c r="H70" i="55" s="1"/>
  <c r="I229" i="53"/>
  <c r="I162" i="53"/>
  <c r="F156" i="72"/>
  <c r="D35" i="72"/>
  <c r="D12" i="72"/>
  <c r="H213" i="53"/>
  <c r="H146" i="53"/>
  <c r="H143" i="53"/>
  <c r="H210" i="53"/>
  <c r="H155" i="72"/>
  <c r="F70" i="72"/>
  <c r="H142" i="72" s="1"/>
  <c r="F71" i="72"/>
  <c r="H148" i="53"/>
  <c r="H215" i="53"/>
  <c r="G250" i="55"/>
  <c r="E137" i="55"/>
  <c r="G195" i="55" s="1"/>
  <c r="H47" i="81"/>
  <c r="H16" i="55" s="1"/>
  <c r="H73" i="55" s="1"/>
  <c r="G16" i="55"/>
  <c r="G73" i="55" s="1"/>
  <c r="G20" i="84"/>
  <c r="G51" i="84" s="1"/>
  <c r="H81" i="83"/>
  <c r="H20" i="84" s="1"/>
  <c r="H51" i="84" s="1"/>
  <c r="G243" i="55"/>
  <c r="E130" i="55"/>
  <c r="G188" i="55" s="1"/>
  <c r="G14" i="55"/>
  <c r="G71" i="55" s="1"/>
  <c r="H45" i="81"/>
  <c r="H14" i="55" s="1"/>
  <c r="H71" i="55" s="1"/>
  <c r="H260" i="55"/>
  <c r="F147" i="55"/>
  <c r="H206" i="55" s="1"/>
  <c r="F161" i="72"/>
  <c r="E33" i="55"/>
  <c r="G57" i="83"/>
  <c r="F46" i="55"/>
  <c r="F103" i="55" s="1"/>
  <c r="G55" i="81"/>
  <c r="F24" i="55"/>
  <c r="F81" i="55" s="1"/>
  <c r="G93" i="83"/>
  <c r="G32" i="84" s="1"/>
  <c r="F32" i="84"/>
  <c r="F259" i="53"/>
  <c r="D12" i="21" l="1"/>
  <c r="I119" i="53"/>
  <c r="G161" i="72"/>
  <c r="H15" i="61"/>
  <c r="G260" i="53" s="1"/>
  <c r="H6" i="61"/>
  <c r="F262" i="53"/>
  <c r="G191" i="53"/>
  <c r="H34" i="61" s="1"/>
  <c r="E167" i="72"/>
  <c r="E169" i="72" s="1"/>
  <c r="G8" i="61"/>
  <c r="I234" i="53"/>
  <c r="I167" i="53"/>
  <c r="H45" i="84"/>
  <c r="I278" i="55"/>
  <c r="G168" i="55"/>
  <c r="I227" i="55" s="1"/>
  <c r="J212" i="53"/>
  <c r="J145" i="53"/>
  <c r="I164" i="53"/>
  <c r="I231" i="53"/>
  <c r="I265" i="55"/>
  <c r="G152" i="55"/>
  <c r="I211" i="55" s="1"/>
  <c r="I213" i="53"/>
  <c r="I146" i="53"/>
  <c r="J277" i="55"/>
  <c r="H167" i="55"/>
  <c r="G30" i="72"/>
  <c r="G54" i="72" s="1"/>
  <c r="H84" i="81"/>
  <c r="H30" i="72" s="1"/>
  <c r="H54" i="72" s="1"/>
  <c r="J153" i="72"/>
  <c r="H63" i="72"/>
  <c r="H64" i="72"/>
  <c r="I261" i="55"/>
  <c r="G148" i="55"/>
  <c r="I207" i="55" s="1"/>
  <c r="J217" i="53"/>
  <c r="J150" i="53"/>
  <c r="G49" i="55"/>
  <c r="G106" i="55" s="1"/>
  <c r="H60" i="83"/>
  <c r="H49" i="55" s="1"/>
  <c r="H106" i="55" s="1"/>
  <c r="J155" i="72"/>
  <c r="H70" i="72"/>
  <c r="H71" i="72"/>
  <c r="I238" i="55"/>
  <c r="G125" i="55"/>
  <c r="I183" i="55" s="1"/>
  <c r="H247" i="55"/>
  <c r="F134" i="55"/>
  <c r="H192" i="55" s="1"/>
  <c r="I262" i="55"/>
  <c r="G149" i="55"/>
  <c r="I208" i="55" s="1"/>
  <c r="I114" i="53"/>
  <c r="I211" i="53"/>
  <c r="I144" i="53"/>
  <c r="G126" i="55"/>
  <c r="I184" i="55" s="1"/>
  <c r="I239" i="55"/>
  <c r="J234" i="53"/>
  <c r="J167" i="53"/>
  <c r="H245" i="53"/>
  <c r="H182" i="53"/>
  <c r="H274" i="55"/>
  <c r="F161" i="55"/>
  <c r="H220" i="55" s="1"/>
  <c r="G23" i="72"/>
  <c r="G47" i="72" s="1"/>
  <c r="H77" i="81"/>
  <c r="H23" i="72" s="1"/>
  <c r="H47" i="72" s="1"/>
  <c r="H253" i="53"/>
  <c r="G26" i="72"/>
  <c r="G50" i="72" s="1"/>
  <c r="H80" i="81"/>
  <c r="H26" i="72" s="1"/>
  <c r="H50" i="72" s="1"/>
  <c r="G21" i="55"/>
  <c r="G78" i="55" s="1"/>
  <c r="H52" i="81"/>
  <c r="H21" i="55" s="1"/>
  <c r="H78" i="55" s="1"/>
  <c r="J215" i="53"/>
  <c r="J148" i="53"/>
  <c r="F32" i="72"/>
  <c r="H76" i="81"/>
  <c r="H22" i="72" s="1"/>
  <c r="H46" i="72" s="1"/>
  <c r="G22" i="72"/>
  <c r="G46" i="72" s="1"/>
  <c r="I167" i="84"/>
  <c r="I163" i="84"/>
  <c r="G124" i="84"/>
  <c r="G141" i="84" s="1"/>
  <c r="G126" i="84"/>
  <c r="G143" i="84" s="1"/>
  <c r="I156" i="84" s="1"/>
  <c r="I164" i="84"/>
  <c r="G125" i="84"/>
  <c r="G142" i="84" s="1"/>
  <c r="I155" i="84" s="1"/>
  <c r="I237" i="55"/>
  <c r="G124" i="55"/>
  <c r="I182" i="55" s="1"/>
  <c r="J278" i="55"/>
  <c r="H168" i="55"/>
  <c r="G24" i="84"/>
  <c r="G55" i="84" s="1"/>
  <c r="H85" i="83"/>
  <c r="H24" i="84" s="1"/>
  <c r="H55" i="84" s="1"/>
  <c r="J276" i="55"/>
  <c r="H166" i="55"/>
  <c r="I142" i="53"/>
  <c r="I209" i="53"/>
  <c r="H114" i="53"/>
  <c r="H92" i="55"/>
  <c r="J231" i="53"/>
  <c r="J164" i="53"/>
  <c r="G26" i="55"/>
  <c r="G83" i="55" s="1"/>
  <c r="H57" i="81"/>
  <c r="H26" i="55" s="1"/>
  <c r="H83" i="55" s="1"/>
  <c r="I264" i="55"/>
  <c r="G151" i="55"/>
  <c r="I210" i="55" s="1"/>
  <c r="J252" i="55"/>
  <c r="H139" i="55"/>
  <c r="P64" i="22"/>
  <c r="Q61" i="22" s="1"/>
  <c r="J265" i="55"/>
  <c r="H152" i="55"/>
  <c r="J211" i="55" s="1"/>
  <c r="J232" i="53"/>
  <c r="J165" i="53"/>
  <c r="J213" i="53"/>
  <c r="J146" i="53"/>
  <c r="I263" i="55"/>
  <c r="G150" i="55"/>
  <c r="I209" i="55" s="1"/>
  <c r="H85" i="81"/>
  <c r="H31" i="72" s="1"/>
  <c r="H55" i="72" s="1"/>
  <c r="G31" i="72"/>
  <c r="G55" i="72" s="1"/>
  <c r="F33" i="55"/>
  <c r="H267" i="55"/>
  <c r="F154" i="55"/>
  <c r="H213" i="55" s="1"/>
  <c r="I233" i="53"/>
  <c r="I166" i="53"/>
  <c r="I168" i="53"/>
  <c r="I235" i="53"/>
  <c r="N38" i="22"/>
  <c r="N39" i="22" s="1"/>
  <c r="G63" i="72"/>
  <c r="I153" i="72"/>
  <c r="G64" i="72"/>
  <c r="H250" i="53"/>
  <c r="H187" i="53"/>
  <c r="J261" i="55"/>
  <c r="H148" i="55"/>
  <c r="J207" i="55" s="1"/>
  <c r="F39" i="84"/>
  <c r="G22" i="55"/>
  <c r="G79" i="55" s="1"/>
  <c r="H53" i="81"/>
  <c r="H22" i="55" s="1"/>
  <c r="H79" i="55" s="1"/>
  <c r="F132" i="55"/>
  <c r="H190" i="55" s="1"/>
  <c r="H245" i="55"/>
  <c r="F137" i="55"/>
  <c r="H195" i="55" s="1"/>
  <c r="H250" i="55"/>
  <c r="G144" i="72"/>
  <c r="H266" i="55"/>
  <c r="F153" i="55"/>
  <c r="H212" i="55" s="1"/>
  <c r="I208" i="53"/>
  <c r="I141" i="53"/>
  <c r="H83" i="83"/>
  <c r="H22" i="84" s="1"/>
  <c r="H53" i="84" s="1"/>
  <c r="G22" i="84"/>
  <c r="G53" i="84" s="1"/>
  <c r="H55" i="81"/>
  <c r="H24" i="55" s="1"/>
  <c r="H81" i="55" s="1"/>
  <c r="G24" i="55"/>
  <c r="G81" i="55" s="1"/>
  <c r="G122" i="55"/>
  <c r="I180" i="55" s="1"/>
  <c r="I235" i="55"/>
  <c r="J251" i="53"/>
  <c r="I215" i="53"/>
  <c r="I148" i="53"/>
  <c r="D290" i="55"/>
  <c r="D292" i="55" s="1"/>
  <c r="F7" i="61"/>
  <c r="E21" i="61"/>
  <c r="E42" i="61" s="1"/>
  <c r="H115" i="53"/>
  <c r="G92" i="55"/>
  <c r="H141" i="72"/>
  <c r="J264" i="55"/>
  <c r="H151" i="55"/>
  <c r="I165" i="53"/>
  <c r="I232" i="53"/>
  <c r="H62" i="83"/>
  <c r="H51" i="55" s="1"/>
  <c r="H108" i="55" s="1"/>
  <c r="G51" i="55"/>
  <c r="G108" i="55" s="1"/>
  <c r="G24" i="72"/>
  <c r="G48" i="72" s="1"/>
  <c r="H78" i="81"/>
  <c r="H24" i="72" s="1"/>
  <c r="H48" i="72" s="1"/>
  <c r="H84" i="83"/>
  <c r="H23" i="84" s="1"/>
  <c r="H54" i="84" s="1"/>
  <c r="G23" i="84"/>
  <c r="G54" i="84" s="1"/>
  <c r="H58" i="83"/>
  <c r="H47" i="55" s="1"/>
  <c r="H104" i="55" s="1"/>
  <c r="G47" i="55"/>
  <c r="G104" i="55" s="1"/>
  <c r="F166" i="84"/>
  <c r="F165" i="84"/>
  <c r="H90" i="83"/>
  <c r="H29" i="84" s="1"/>
  <c r="H60" i="84" s="1"/>
  <c r="G29" i="84"/>
  <c r="G60" i="84" s="1"/>
  <c r="F166" i="72"/>
  <c r="F174" i="84"/>
  <c r="G46" i="55"/>
  <c r="G103" i="55" s="1"/>
  <c r="H57" i="83"/>
  <c r="H46" i="55" s="1"/>
  <c r="H103" i="55" s="1"/>
  <c r="J238" i="55"/>
  <c r="H125" i="55"/>
  <c r="J183" i="55" s="1"/>
  <c r="F157" i="72"/>
  <c r="F158" i="72"/>
  <c r="H56" i="81"/>
  <c r="H25" i="55" s="1"/>
  <c r="H82" i="55" s="1"/>
  <c r="G25" i="55"/>
  <c r="G82" i="55" s="1"/>
  <c r="J262" i="55"/>
  <c r="H149" i="55"/>
  <c r="J208" i="55" s="1"/>
  <c r="I118" i="53"/>
  <c r="J211" i="53"/>
  <c r="J144" i="53"/>
  <c r="G37" i="72"/>
  <c r="G13" i="23"/>
  <c r="C14" i="23" s="1"/>
  <c r="H126" i="55"/>
  <c r="J184" i="55" s="1"/>
  <c r="J239" i="55"/>
  <c r="E160" i="29"/>
  <c r="E145" i="29"/>
  <c r="E130" i="29"/>
  <c r="E37" i="29"/>
  <c r="E175" i="29"/>
  <c r="I154" i="72"/>
  <c r="G78" i="72"/>
  <c r="G79" i="72"/>
  <c r="I258" i="55"/>
  <c r="G145" i="55"/>
  <c r="I204" i="55" s="1"/>
  <c r="F36" i="61"/>
  <c r="F41" i="61" s="1"/>
  <c r="C8" i="21"/>
  <c r="H79" i="81"/>
  <c r="H25" i="72" s="1"/>
  <c r="H49" i="72" s="1"/>
  <c r="G25" i="72"/>
  <c r="G49" i="72" s="1"/>
  <c r="H63" i="83"/>
  <c r="H52" i="55" s="1"/>
  <c r="H109" i="55" s="1"/>
  <c r="G52" i="55"/>
  <c r="G109" i="55" s="1"/>
  <c r="F95" i="72"/>
  <c r="H139" i="72" s="1"/>
  <c r="H152" i="72"/>
  <c r="F96" i="72"/>
  <c r="I234" i="55"/>
  <c r="G121" i="55"/>
  <c r="I179" i="55" s="1"/>
  <c r="I207" i="53"/>
  <c r="I140" i="53"/>
  <c r="J260" i="55"/>
  <c r="H147" i="55"/>
  <c r="I143" i="53"/>
  <c r="I210" i="53"/>
  <c r="H272" i="55"/>
  <c r="F159" i="55"/>
  <c r="H218" i="55" s="1"/>
  <c r="H249" i="55"/>
  <c r="F136" i="55"/>
  <c r="H194" i="55" s="1"/>
  <c r="H125" i="84"/>
  <c r="H142" i="84" s="1"/>
  <c r="J163" i="84"/>
  <c r="J167" i="84"/>
  <c r="J164" i="84"/>
  <c r="H124" i="84"/>
  <c r="H141" i="84" s="1"/>
  <c r="H126" i="84"/>
  <c r="H143" i="84" s="1"/>
  <c r="J156" i="84" s="1"/>
  <c r="H254" i="53"/>
  <c r="J237" i="55"/>
  <c r="H124" i="55"/>
  <c r="J182" i="55" s="1"/>
  <c r="H242" i="55"/>
  <c r="F129" i="55"/>
  <c r="H187" i="55" s="1"/>
  <c r="H251" i="55"/>
  <c r="F138" i="55"/>
  <c r="H196" i="55" s="1"/>
  <c r="G68" i="55"/>
  <c r="I276" i="55"/>
  <c r="G166" i="55"/>
  <c r="I225" i="55" s="1"/>
  <c r="J209" i="53"/>
  <c r="J142" i="53"/>
  <c r="H116" i="53"/>
  <c r="J259" i="55"/>
  <c r="H146" i="55"/>
  <c r="H253" i="55"/>
  <c r="F140" i="55"/>
  <c r="H198" i="55" s="1"/>
  <c r="H247" i="53"/>
  <c r="H184" i="53"/>
  <c r="J236" i="53"/>
  <c r="J169" i="53"/>
  <c r="G139" i="55"/>
  <c r="I197" i="55" s="1"/>
  <c r="I252" i="55"/>
  <c r="I237" i="53"/>
  <c r="I170" i="53"/>
  <c r="E12" i="84"/>
  <c r="E42" i="84"/>
  <c r="H233" i="55"/>
  <c r="F120" i="55"/>
  <c r="N46" i="22"/>
  <c r="O43" i="22" s="1"/>
  <c r="G45" i="55"/>
  <c r="G102" i="55" s="1"/>
  <c r="H56" i="83"/>
  <c r="H45" i="55" s="1"/>
  <c r="H102" i="55" s="1"/>
  <c r="J233" i="53"/>
  <c r="J166" i="53"/>
  <c r="F61" i="55"/>
  <c r="I238" i="53"/>
  <c r="I171" i="53"/>
  <c r="J235" i="53"/>
  <c r="J168" i="53"/>
  <c r="H154" i="84"/>
  <c r="H159" i="84" s="1"/>
  <c r="H168" i="84"/>
  <c r="H169" i="84"/>
  <c r="G156" i="72"/>
  <c r="E35" i="72"/>
  <c r="E12" i="72"/>
  <c r="F131" i="55"/>
  <c r="H189" i="55" s="1"/>
  <c r="H244" i="55"/>
  <c r="M51" i="22"/>
  <c r="H81" i="81"/>
  <c r="H27" i="72" s="1"/>
  <c r="H51" i="72" s="1"/>
  <c r="G27" i="72"/>
  <c r="G51" i="72" s="1"/>
  <c r="H54" i="81"/>
  <c r="H23" i="55" s="1"/>
  <c r="H80" i="55" s="1"/>
  <c r="G23" i="55"/>
  <c r="G80" i="55" s="1"/>
  <c r="H59" i="81"/>
  <c r="H28" i="55" s="1"/>
  <c r="H85" i="55" s="1"/>
  <c r="G28" i="55"/>
  <c r="G85" i="55" s="1"/>
  <c r="H55" i="83"/>
  <c r="H44" i="55" s="1"/>
  <c r="H101" i="55" s="1"/>
  <c r="G44" i="55"/>
  <c r="G101" i="55" s="1"/>
  <c r="I51" i="22"/>
  <c r="I67" i="22" s="1"/>
  <c r="H67" i="22"/>
  <c r="J208" i="53"/>
  <c r="J141" i="53"/>
  <c r="E177" i="84"/>
  <c r="D171" i="29"/>
  <c r="D156" i="29"/>
  <c r="D141" i="29"/>
  <c r="D126" i="29"/>
  <c r="D33" i="29"/>
  <c r="G47" i="61"/>
  <c r="D22" i="21"/>
  <c r="F274" i="53"/>
  <c r="F276" i="53" s="1"/>
  <c r="G123" i="55"/>
  <c r="I181" i="55" s="1"/>
  <c r="I236" i="55"/>
  <c r="H39" i="61"/>
  <c r="E13" i="21"/>
  <c r="I240" i="55"/>
  <c r="G127" i="55"/>
  <c r="I185" i="55" s="1"/>
  <c r="H243" i="55"/>
  <c r="F130" i="55"/>
  <c r="H188" i="55" s="1"/>
  <c r="H83" i="81"/>
  <c r="H29" i="72" s="1"/>
  <c r="H53" i="72" s="1"/>
  <c r="G29" i="72"/>
  <c r="G53" i="72" s="1"/>
  <c r="J230" i="53"/>
  <c r="J163" i="53"/>
  <c r="H119" i="53"/>
  <c r="H59" i="83"/>
  <c r="H48" i="55" s="1"/>
  <c r="H105" i="55" s="1"/>
  <c r="G48" i="55"/>
  <c r="G105" i="55" s="1"/>
  <c r="F135" i="55"/>
  <c r="H193" i="55" s="1"/>
  <c r="H248" i="55"/>
  <c r="E44" i="61"/>
  <c r="J263" i="55"/>
  <c r="H150" i="55"/>
  <c r="J209" i="55" s="1"/>
  <c r="J216" i="53"/>
  <c r="J149" i="53"/>
  <c r="I275" i="55"/>
  <c r="G165" i="55"/>
  <c r="I224" i="55" s="1"/>
  <c r="H251" i="53"/>
  <c r="H188" i="53"/>
  <c r="J206" i="53"/>
  <c r="J139" i="53"/>
  <c r="E174" i="29"/>
  <c r="E36" i="29"/>
  <c r="E159" i="29"/>
  <c r="E144" i="29"/>
  <c r="E129" i="29"/>
  <c r="H268" i="55"/>
  <c r="F155" i="55"/>
  <c r="H214" i="55" s="1"/>
  <c r="H246" i="55"/>
  <c r="F133" i="55"/>
  <c r="H191" i="55" s="1"/>
  <c r="E10" i="55"/>
  <c r="E65" i="55"/>
  <c r="G200" i="55" s="1"/>
  <c r="J236" i="55"/>
  <c r="H123" i="55"/>
  <c r="J181" i="55" s="1"/>
  <c r="F159" i="72"/>
  <c r="F146" i="72"/>
  <c r="F148" i="72" s="1"/>
  <c r="H122" i="55"/>
  <c r="J235" i="55"/>
  <c r="I116" i="53"/>
  <c r="I115" i="53"/>
  <c r="H37" i="72"/>
  <c r="H88" i="83"/>
  <c r="H27" i="84" s="1"/>
  <c r="H58" i="84" s="1"/>
  <c r="G27" i="84"/>
  <c r="G58" i="84" s="1"/>
  <c r="J154" i="72"/>
  <c r="H78" i="72"/>
  <c r="H79" i="72"/>
  <c r="J258" i="55"/>
  <c r="H145" i="55"/>
  <c r="J204" i="55" s="1"/>
  <c r="J240" i="55"/>
  <c r="H127" i="55"/>
  <c r="J234" i="55"/>
  <c r="H121" i="55"/>
  <c r="J207" i="53"/>
  <c r="J140" i="53"/>
  <c r="I260" i="55"/>
  <c r="G147" i="55"/>
  <c r="I206" i="55" s="1"/>
  <c r="J210" i="53"/>
  <c r="J143" i="53"/>
  <c r="G28" i="84"/>
  <c r="G59" i="84" s="1"/>
  <c r="H89" i="83"/>
  <c r="H28" i="84" s="1"/>
  <c r="H59" i="84" s="1"/>
  <c r="G50" i="55"/>
  <c r="G107" i="55" s="1"/>
  <c r="H61" i="83"/>
  <c r="H50" i="55" s="1"/>
  <c r="H107" i="55" s="1"/>
  <c r="H58" i="81"/>
  <c r="H27" i="55" s="1"/>
  <c r="H84" i="55" s="1"/>
  <c r="G27" i="55"/>
  <c r="G84" i="55" s="1"/>
  <c r="H140" i="72"/>
  <c r="G45" i="84"/>
  <c r="G284" i="55"/>
  <c r="G285" i="55"/>
  <c r="G178" i="55"/>
  <c r="H51" i="81"/>
  <c r="H20" i="55" s="1"/>
  <c r="H77" i="55" s="1"/>
  <c r="G20" i="55"/>
  <c r="G77" i="55" s="1"/>
  <c r="G29" i="55"/>
  <c r="G86" i="55" s="1"/>
  <c r="H60" i="81"/>
  <c r="H29" i="55" s="1"/>
  <c r="H86" i="55" s="1"/>
  <c r="H68" i="55"/>
  <c r="I212" i="53"/>
  <c r="I145" i="53"/>
  <c r="I230" i="53"/>
  <c r="I163" i="53"/>
  <c r="H118" i="53"/>
  <c r="I259" i="55"/>
  <c r="G146" i="55"/>
  <c r="I205" i="55" s="1"/>
  <c r="G49" i="22"/>
  <c r="F68" i="22"/>
  <c r="H270" i="55"/>
  <c r="F157" i="55"/>
  <c r="H216" i="55" s="1"/>
  <c r="H62" i="81"/>
  <c r="H31" i="55" s="1"/>
  <c r="H88" i="55" s="1"/>
  <c r="G31" i="55"/>
  <c r="G88" i="55" s="1"/>
  <c r="H183" i="53"/>
  <c r="H246" i="53"/>
  <c r="I236" i="53"/>
  <c r="I169" i="53"/>
  <c r="J237" i="53"/>
  <c r="J170" i="53"/>
  <c r="B15" i="21"/>
  <c r="C125" i="29"/>
  <c r="C132" i="29" s="1"/>
  <c r="C32" i="29"/>
  <c r="C39" i="29" s="1"/>
  <c r="C170" i="29"/>
  <c r="C177" i="29" s="1"/>
  <c r="C155" i="29"/>
  <c r="C162" i="29" s="1"/>
  <c r="C140" i="29"/>
  <c r="C147" i="29" s="1"/>
  <c r="G28" i="72"/>
  <c r="G52" i="72" s="1"/>
  <c r="H82" i="81"/>
  <c r="H28" i="72" s="1"/>
  <c r="H52" i="72" s="1"/>
  <c r="F283" i="55"/>
  <c r="F282" i="55"/>
  <c r="F229" i="55"/>
  <c r="G160" i="72"/>
  <c r="I277" i="55"/>
  <c r="G167" i="55"/>
  <c r="I226" i="55" s="1"/>
  <c r="H273" i="55"/>
  <c r="F160" i="55"/>
  <c r="H219" i="55" s="1"/>
  <c r="H257" i="55"/>
  <c r="F144" i="55"/>
  <c r="H203" i="55" s="1"/>
  <c r="H86" i="83"/>
  <c r="H25" i="84" s="1"/>
  <c r="H56" i="84" s="1"/>
  <c r="G25" i="84"/>
  <c r="G56" i="84" s="1"/>
  <c r="J238" i="53"/>
  <c r="J171" i="53"/>
  <c r="H269" i="55"/>
  <c r="F156" i="55"/>
  <c r="H215" i="55" s="1"/>
  <c r="I216" i="53"/>
  <c r="I149" i="53"/>
  <c r="H91" i="83"/>
  <c r="H30" i="84" s="1"/>
  <c r="H61" i="84" s="1"/>
  <c r="G30" i="84"/>
  <c r="G61" i="84" s="1"/>
  <c r="J275" i="55"/>
  <c r="H165" i="55"/>
  <c r="J224" i="55" s="1"/>
  <c r="M52" i="22"/>
  <c r="F16" i="61"/>
  <c r="I206" i="53"/>
  <c r="I139" i="53"/>
  <c r="I217" i="53"/>
  <c r="I150" i="53"/>
  <c r="H87" i="83"/>
  <c r="H26" i="84" s="1"/>
  <c r="H57" i="84" s="1"/>
  <c r="G26" i="84"/>
  <c r="G57" i="84" s="1"/>
  <c r="H271" i="55"/>
  <c r="F158" i="55"/>
  <c r="H217" i="55" s="1"/>
  <c r="I155" i="72"/>
  <c r="G70" i="72"/>
  <c r="I142" i="72" s="1"/>
  <c r="G71" i="72"/>
  <c r="G259" i="53"/>
  <c r="I6" i="61" l="1"/>
  <c r="G262" i="53"/>
  <c r="H47" i="61" s="1"/>
  <c r="J179" i="55"/>
  <c r="E12" i="21"/>
  <c r="F144" i="29" s="1"/>
  <c r="J253" i="53"/>
  <c r="H191" i="53"/>
  <c r="F12" i="21" s="1"/>
  <c r="I15" i="61"/>
  <c r="J6" i="61" s="1"/>
  <c r="G229" i="55"/>
  <c r="H36" i="61" s="1"/>
  <c r="H33" i="55"/>
  <c r="H10" i="55" s="1"/>
  <c r="G16" i="61"/>
  <c r="F290" i="55" s="1"/>
  <c r="H32" i="72"/>
  <c r="H12" i="72" s="1"/>
  <c r="J180" i="55"/>
  <c r="G17" i="61"/>
  <c r="H8" i="61" s="1"/>
  <c r="N40" i="22"/>
  <c r="O37" i="22" s="1"/>
  <c r="I272" i="55"/>
  <c r="G159" i="55"/>
  <c r="I218" i="55" s="1"/>
  <c r="J233" i="55"/>
  <c r="H120" i="55"/>
  <c r="I267" i="55"/>
  <c r="G154" i="55"/>
  <c r="I213" i="55" s="1"/>
  <c r="G33" i="55"/>
  <c r="D14" i="23"/>
  <c r="J273" i="55"/>
  <c r="H160" i="55"/>
  <c r="E289" i="55"/>
  <c r="F12" i="61"/>
  <c r="I246" i="55"/>
  <c r="G133" i="55"/>
  <c r="I191" i="55" s="1"/>
  <c r="O38" i="22"/>
  <c r="O40" i="22" s="1"/>
  <c r="P37" i="22" s="1"/>
  <c r="I245" i="53"/>
  <c r="I182" i="53"/>
  <c r="H156" i="72"/>
  <c r="F35" i="72"/>
  <c r="F12" i="72"/>
  <c r="G130" i="55"/>
  <c r="I188" i="55" s="1"/>
  <c r="I243" i="55"/>
  <c r="H95" i="72"/>
  <c r="J144" i="72" s="1"/>
  <c r="J152" i="72"/>
  <c r="H96" i="72"/>
  <c r="J245" i="53"/>
  <c r="J182" i="53"/>
  <c r="J142" i="72"/>
  <c r="J254" i="53"/>
  <c r="C19" i="21"/>
  <c r="F50" i="61"/>
  <c r="E178" i="72"/>
  <c r="E180" i="72" s="1"/>
  <c r="G36" i="61"/>
  <c r="D8" i="21"/>
  <c r="I242" i="55"/>
  <c r="G129" i="55"/>
  <c r="I187" i="55" s="1"/>
  <c r="E22" i="21"/>
  <c r="G39" i="84"/>
  <c r="I249" i="55"/>
  <c r="G136" i="55"/>
  <c r="I194" i="55" s="1"/>
  <c r="I251" i="53"/>
  <c r="I188" i="53"/>
  <c r="J266" i="55"/>
  <c r="H153" i="55"/>
  <c r="J212" i="55" s="1"/>
  <c r="J205" i="55"/>
  <c r="H259" i="53"/>
  <c r="H134" i="55"/>
  <c r="J247" i="55"/>
  <c r="G61" i="55"/>
  <c r="F12" i="84"/>
  <c r="F42" i="84"/>
  <c r="C6" i="68"/>
  <c r="I253" i="55"/>
  <c r="G140" i="55"/>
  <c r="I198" i="55" s="1"/>
  <c r="I250" i="53"/>
  <c r="I187" i="53"/>
  <c r="H138" i="55"/>
  <c r="J251" i="55"/>
  <c r="J249" i="55"/>
  <c r="H136" i="55"/>
  <c r="J246" i="53"/>
  <c r="J183" i="53"/>
  <c r="G37" i="61"/>
  <c r="D9" i="21"/>
  <c r="F175" i="29"/>
  <c r="F160" i="29"/>
  <c r="F145" i="29"/>
  <c r="F130" i="29"/>
  <c r="F37" i="29"/>
  <c r="I250" i="55"/>
  <c r="G137" i="55"/>
  <c r="I195" i="55" s="1"/>
  <c r="O44" i="22"/>
  <c r="O45" i="22" s="1"/>
  <c r="G165" i="84"/>
  <c r="G166" i="84"/>
  <c r="I233" i="55"/>
  <c r="G120" i="55"/>
  <c r="I274" i="55"/>
  <c r="G161" i="55"/>
  <c r="I220" i="55" s="1"/>
  <c r="J268" i="55"/>
  <c r="H155" i="55"/>
  <c r="I269" i="55"/>
  <c r="G156" i="55"/>
  <c r="I215" i="55" s="1"/>
  <c r="I257" i="55"/>
  <c r="G144" i="55"/>
  <c r="I203" i="55" s="1"/>
  <c r="E49" i="61"/>
  <c r="E54" i="61" s="1"/>
  <c r="E55" i="61" s="1"/>
  <c r="B18" i="21"/>
  <c r="B25" i="21" s="1"/>
  <c r="D302" i="55"/>
  <c r="D305" i="55" s="1"/>
  <c r="J246" i="55"/>
  <c r="H133" i="55"/>
  <c r="F10" i="55"/>
  <c r="F65" i="55"/>
  <c r="H200" i="55" s="1"/>
  <c r="Q62" i="22"/>
  <c r="Q63" i="22" s="1"/>
  <c r="Q64" i="22"/>
  <c r="G95" i="72"/>
  <c r="I139" i="72" s="1"/>
  <c r="I152" i="72"/>
  <c r="G96" i="72"/>
  <c r="J140" i="72"/>
  <c r="J226" i="55"/>
  <c r="I254" i="53"/>
  <c r="J242" i="55"/>
  <c r="H129" i="55"/>
  <c r="J187" i="55" s="1"/>
  <c r="H35" i="72"/>
  <c r="J245" i="55"/>
  <c r="H132" i="55"/>
  <c r="J206" i="55"/>
  <c r="G32" i="72"/>
  <c r="J188" i="53"/>
  <c r="E290" i="55"/>
  <c r="G7" i="61"/>
  <c r="F21" i="61"/>
  <c r="F42" i="61" s="1"/>
  <c r="F44" i="61" s="1"/>
  <c r="J253" i="55"/>
  <c r="H140" i="55"/>
  <c r="G65" i="22"/>
  <c r="F13" i="69" s="1"/>
  <c r="F15" i="69" s="1"/>
  <c r="G52" i="22"/>
  <c r="G138" i="55"/>
  <c r="I196" i="55" s="1"/>
  <c r="I251" i="55"/>
  <c r="H144" i="72"/>
  <c r="J272" i="55"/>
  <c r="H159" i="55"/>
  <c r="J218" i="55" s="1"/>
  <c r="J185" i="55"/>
  <c r="J247" i="53"/>
  <c r="J184" i="53"/>
  <c r="G283" i="55"/>
  <c r="G282" i="55"/>
  <c r="I253" i="53"/>
  <c r="I270" i="55"/>
  <c r="G157" i="55"/>
  <c r="I216" i="55" s="1"/>
  <c r="C23" i="21"/>
  <c r="E186" i="84"/>
  <c r="E188" i="84" s="1"/>
  <c r="F52" i="61"/>
  <c r="J250" i="55"/>
  <c r="H137" i="55"/>
  <c r="G157" i="72"/>
  <c r="G158" i="72"/>
  <c r="H284" i="55"/>
  <c r="H285" i="55"/>
  <c r="H178" i="55"/>
  <c r="J154" i="84"/>
  <c r="J159" i="84" s="1"/>
  <c r="J169" i="84"/>
  <c r="J168" i="84"/>
  <c r="J155" i="84"/>
  <c r="J274" i="55"/>
  <c r="H161" i="55"/>
  <c r="J220" i="55" s="1"/>
  <c r="C15" i="21"/>
  <c r="D170" i="29"/>
  <c r="D177" i="29" s="1"/>
  <c r="D155" i="29"/>
  <c r="D162" i="29" s="1"/>
  <c r="D140" i="29"/>
  <c r="D147" i="29" s="1"/>
  <c r="D125" i="29"/>
  <c r="D132" i="29" s="1"/>
  <c r="D32" i="29"/>
  <c r="D39" i="29" s="1"/>
  <c r="I268" i="55"/>
  <c r="G155" i="55"/>
  <c r="I214" i="55" s="1"/>
  <c r="J269" i="55"/>
  <c r="H156" i="55"/>
  <c r="J215" i="55" s="1"/>
  <c r="H161" i="72"/>
  <c r="I183" i="53"/>
  <c r="I246" i="53"/>
  <c r="H131" i="55"/>
  <c r="J244" i="55"/>
  <c r="J197" i="55"/>
  <c r="H135" i="55"/>
  <c r="J248" i="55"/>
  <c r="H61" i="55"/>
  <c r="J271" i="55"/>
  <c r="H158" i="55"/>
  <c r="M68" i="22"/>
  <c r="N49" i="22"/>
  <c r="J161" i="72"/>
  <c r="J141" i="72"/>
  <c r="J270" i="55"/>
  <c r="H157" i="55"/>
  <c r="I266" i="55"/>
  <c r="G153" i="55"/>
  <c r="I212" i="55" s="1"/>
  <c r="I245" i="55"/>
  <c r="G132" i="55"/>
  <c r="I190" i="55" s="1"/>
  <c r="M67" i="22"/>
  <c r="G159" i="72"/>
  <c r="G146" i="72"/>
  <c r="G148" i="72" s="1"/>
  <c r="I39" i="61"/>
  <c r="F13" i="21"/>
  <c r="J267" i="55"/>
  <c r="H154" i="55"/>
  <c r="J213" i="55" s="1"/>
  <c r="I247" i="53"/>
  <c r="I184" i="53"/>
  <c r="I141" i="72"/>
  <c r="J250" i="53"/>
  <c r="J187" i="53"/>
  <c r="G134" i="55"/>
  <c r="I192" i="55" s="1"/>
  <c r="I247" i="55"/>
  <c r="G18" i="61"/>
  <c r="H9" i="61" s="1"/>
  <c r="I273" i="55"/>
  <c r="G160" i="55"/>
  <c r="I219" i="55" s="1"/>
  <c r="J210" i="55"/>
  <c r="H160" i="72"/>
  <c r="G131" i="55"/>
  <c r="I189" i="55" s="1"/>
  <c r="I244" i="55"/>
  <c r="I140" i="72"/>
  <c r="I248" i="55"/>
  <c r="G135" i="55"/>
  <c r="I193" i="55" s="1"/>
  <c r="J257" i="55"/>
  <c r="H144" i="55"/>
  <c r="J203" i="55" s="1"/>
  <c r="J225" i="55"/>
  <c r="J227" i="55"/>
  <c r="I154" i="84"/>
  <c r="I159" i="84" s="1"/>
  <c r="I169" i="84"/>
  <c r="I168" i="84"/>
  <c r="H130" i="55"/>
  <c r="J243" i="55"/>
  <c r="I271" i="55"/>
  <c r="G158" i="55"/>
  <c r="I217" i="55" s="1"/>
  <c r="H39" i="84"/>
  <c r="I160" i="72" l="1"/>
  <c r="F36" i="29"/>
  <c r="I34" i="61"/>
  <c r="G274" i="53"/>
  <c r="G276" i="53" s="1"/>
  <c r="F129" i="29"/>
  <c r="F159" i="29"/>
  <c r="J195" i="55"/>
  <c r="F174" i="29"/>
  <c r="J160" i="72"/>
  <c r="J191" i="55"/>
  <c r="J198" i="55"/>
  <c r="J192" i="55"/>
  <c r="J156" i="72"/>
  <c r="H260" i="53"/>
  <c r="H262" i="53" s="1"/>
  <c r="E292" i="55"/>
  <c r="F49" i="61" s="1"/>
  <c r="F54" i="61" s="1"/>
  <c r="F55" i="61" s="1"/>
  <c r="D11" i="68" s="1"/>
  <c r="D27" i="68" s="1"/>
  <c r="D28" i="68" s="1"/>
  <c r="E8" i="21"/>
  <c r="F155" i="29" s="1"/>
  <c r="H229" i="55"/>
  <c r="I36" i="61" s="1"/>
  <c r="F175" i="84"/>
  <c r="F177" i="84" s="1"/>
  <c r="D23" i="21" s="1"/>
  <c r="I191" i="53"/>
  <c r="G12" i="21" s="1"/>
  <c r="F167" i="72"/>
  <c r="F169" i="72" s="1"/>
  <c r="G50" i="61" s="1"/>
  <c r="H65" i="55"/>
  <c r="J200" i="55" s="1"/>
  <c r="J15" i="61"/>
  <c r="I260" i="53" s="1"/>
  <c r="J190" i="55"/>
  <c r="J191" i="53"/>
  <c r="H12" i="21" s="1"/>
  <c r="H7" i="61"/>
  <c r="G289" i="55" s="1"/>
  <c r="K15" i="61"/>
  <c r="J260" i="53" s="1"/>
  <c r="H17" i="61"/>
  <c r="G175" i="84" s="1"/>
  <c r="O39" i="22"/>
  <c r="I285" i="55"/>
  <c r="I178" i="55"/>
  <c r="I284" i="55"/>
  <c r="J196" i="55"/>
  <c r="I259" i="53"/>
  <c r="G160" i="29"/>
  <c r="G145" i="29"/>
  <c r="G130" i="29"/>
  <c r="G175" i="29"/>
  <c r="G37" i="29"/>
  <c r="E56" i="61"/>
  <c r="C11" i="68"/>
  <c r="C27" i="68" s="1"/>
  <c r="C28" i="68" s="1"/>
  <c r="N65" i="22"/>
  <c r="N50" i="22"/>
  <c r="N52" i="22" s="1"/>
  <c r="K39" i="61"/>
  <c r="H13" i="21"/>
  <c r="H49" i="22"/>
  <c r="G68" i="22"/>
  <c r="B38" i="21"/>
  <c r="B40" i="21" s="1"/>
  <c r="C22" i="68"/>
  <c r="C165" i="29"/>
  <c r="C166" i="29" s="1"/>
  <c r="C167" i="29" s="1"/>
  <c r="C135" i="29"/>
  <c r="C136" i="29" s="1"/>
  <c r="C137" i="29" s="1"/>
  <c r="C180" i="29"/>
  <c r="C181" i="29" s="1"/>
  <c r="C182" i="29" s="1"/>
  <c r="C150" i="29"/>
  <c r="C151" i="29" s="1"/>
  <c r="C152" i="29" s="1"/>
  <c r="C41" i="29"/>
  <c r="C43" i="29" s="1"/>
  <c r="C47" i="29" s="1"/>
  <c r="O46" i="22"/>
  <c r="P43" i="22" s="1"/>
  <c r="F170" i="29"/>
  <c r="H165" i="84"/>
  <c r="I18" i="61" s="1"/>
  <c r="J9" i="61" s="1"/>
  <c r="H166" i="84"/>
  <c r="H157" i="72"/>
  <c r="H158" i="72"/>
  <c r="J219" i="55"/>
  <c r="J178" i="55"/>
  <c r="J285" i="55"/>
  <c r="J284" i="55"/>
  <c r="J282" i="55"/>
  <c r="J283" i="55"/>
  <c r="G174" i="84"/>
  <c r="G166" i="72"/>
  <c r="C18" i="21"/>
  <c r="C25" i="21" s="1"/>
  <c r="E302" i="55"/>
  <c r="E305" i="55" s="1"/>
  <c r="J159" i="72"/>
  <c r="J146" i="72"/>
  <c r="H283" i="55"/>
  <c r="H282" i="55"/>
  <c r="G174" i="29"/>
  <c r="G36" i="29"/>
  <c r="G159" i="29"/>
  <c r="G144" i="29"/>
  <c r="G129" i="29"/>
  <c r="J39" i="61"/>
  <c r="G13" i="21"/>
  <c r="I144" i="72"/>
  <c r="I161" i="72"/>
  <c r="J189" i="55"/>
  <c r="I156" i="72"/>
  <c r="G35" i="72"/>
  <c r="G12" i="72"/>
  <c r="E156" i="29"/>
  <c r="E141" i="29"/>
  <c r="E126" i="29"/>
  <c r="E33" i="29"/>
  <c r="E171" i="29"/>
  <c r="J194" i="55"/>
  <c r="G12" i="84"/>
  <c r="G42" i="84"/>
  <c r="E170" i="29"/>
  <c r="E32" i="29"/>
  <c r="E155" i="29"/>
  <c r="E140" i="29"/>
  <c r="E125" i="29"/>
  <c r="D15" i="21"/>
  <c r="J139" i="72"/>
  <c r="H159" i="72"/>
  <c r="H146" i="72"/>
  <c r="H148" i="72" s="1"/>
  <c r="G10" i="55"/>
  <c r="G65" i="55"/>
  <c r="I200" i="55" s="1"/>
  <c r="P38" i="22"/>
  <c r="H12" i="84"/>
  <c r="H42" i="84"/>
  <c r="J188" i="55"/>
  <c r="H37" i="61"/>
  <c r="H41" i="61" s="1"/>
  <c r="E9" i="21"/>
  <c r="J216" i="55"/>
  <c r="J217" i="55"/>
  <c r="J193" i="55"/>
  <c r="D6" i="68"/>
  <c r="H16" i="61"/>
  <c r="F289" i="55"/>
  <c r="F292" i="55" s="1"/>
  <c r="G12" i="61"/>
  <c r="J158" i="72"/>
  <c r="J157" i="72"/>
  <c r="J214" i="55"/>
  <c r="H18" i="61"/>
  <c r="I9" i="61" s="1"/>
  <c r="G41" i="61"/>
  <c r="F14" i="23"/>
  <c r="E14" i="23" s="1"/>
  <c r="G21" i="61"/>
  <c r="G42" i="61" s="1"/>
  <c r="G52" i="61"/>
  <c r="F186" i="84"/>
  <c r="F188" i="84" s="1"/>
  <c r="I47" i="61" l="1"/>
  <c r="H274" i="53"/>
  <c r="H276" i="53" s="1"/>
  <c r="E177" i="29"/>
  <c r="F22" i="21"/>
  <c r="J34" i="61"/>
  <c r="F8" i="21"/>
  <c r="G140" i="29" s="1"/>
  <c r="F125" i="29"/>
  <c r="F32" i="29"/>
  <c r="G167" i="72"/>
  <c r="F178" i="72"/>
  <c r="F180" i="72" s="1"/>
  <c r="D19" i="21"/>
  <c r="F140" i="29"/>
  <c r="K6" i="61"/>
  <c r="I8" i="61"/>
  <c r="H174" i="84" s="1"/>
  <c r="G44" i="61"/>
  <c r="E147" i="29"/>
  <c r="K34" i="61"/>
  <c r="E132" i="29"/>
  <c r="K16" i="61"/>
  <c r="J290" i="55" s="1"/>
  <c r="J148" i="72"/>
  <c r="K37" i="61" s="1"/>
  <c r="H12" i="61"/>
  <c r="I262" i="53"/>
  <c r="I274" i="53" s="1"/>
  <c r="I276" i="53" s="1"/>
  <c r="K17" i="61"/>
  <c r="J175" i="84" s="1"/>
  <c r="E39" i="29"/>
  <c r="I16" i="61"/>
  <c r="H290" i="55" s="1"/>
  <c r="P39" i="22"/>
  <c r="N68" i="22"/>
  <c r="O49" i="22"/>
  <c r="D18" i="21"/>
  <c r="G49" i="61"/>
  <c r="G54" i="61" s="1"/>
  <c r="F302" i="55"/>
  <c r="F305" i="55" s="1"/>
  <c r="I37" i="61"/>
  <c r="I41" i="61" s="1"/>
  <c r="F9" i="21"/>
  <c r="I7" i="61"/>
  <c r="G290" i="55"/>
  <c r="G292" i="55" s="1"/>
  <c r="H21" i="61"/>
  <c r="H42" i="61" s="1"/>
  <c r="H44" i="61" s="1"/>
  <c r="F171" i="29"/>
  <c r="F156" i="29"/>
  <c r="F162" i="29" s="1"/>
  <c r="F141" i="29"/>
  <c r="F126" i="29"/>
  <c r="F33" i="29"/>
  <c r="J165" i="84"/>
  <c r="J166" i="84"/>
  <c r="I159" i="72"/>
  <c r="I146" i="72"/>
  <c r="I148" i="72" s="1"/>
  <c r="D22" i="68"/>
  <c r="D135" i="29"/>
  <c r="D136" i="29" s="1"/>
  <c r="D137" i="29" s="1"/>
  <c r="C38" i="21"/>
  <c r="C40" i="21" s="1"/>
  <c r="D180" i="29"/>
  <c r="D181" i="29" s="1"/>
  <c r="D182" i="29" s="1"/>
  <c r="D150" i="29"/>
  <c r="D151" i="29" s="1"/>
  <c r="D152" i="29" s="1"/>
  <c r="D165" i="29"/>
  <c r="D166" i="29" s="1"/>
  <c r="D167" i="29" s="1"/>
  <c r="D41" i="29"/>
  <c r="D43" i="29" s="1"/>
  <c r="D47" i="29" s="1"/>
  <c r="F177" i="29"/>
  <c r="D12" i="68"/>
  <c r="P40" i="22"/>
  <c r="Q37" i="22" s="1"/>
  <c r="H9" i="21"/>
  <c r="E162" i="29"/>
  <c r="I165" i="84"/>
  <c r="I166" i="84"/>
  <c r="H65" i="22"/>
  <c r="G13" i="69" s="1"/>
  <c r="G15" i="69" s="1"/>
  <c r="H52" i="22"/>
  <c r="H174" i="29"/>
  <c r="H159" i="29"/>
  <c r="H144" i="29"/>
  <c r="H129" i="29"/>
  <c r="H36" i="29"/>
  <c r="G169" i="72"/>
  <c r="J259" i="53"/>
  <c r="J262" i="53" s="1"/>
  <c r="I282" i="55"/>
  <c r="I283" i="55"/>
  <c r="E6" i="68"/>
  <c r="H175" i="29"/>
  <c r="H160" i="29"/>
  <c r="H145" i="29"/>
  <c r="H130" i="29"/>
  <c r="H37" i="29"/>
  <c r="I17" i="61"/>
  <c r="P44" i="22"/>
  <c r="P45" i="22" s="1"/>
  <c r="B45" i="21"/>
  <c r="C109" i="29"/>
  <c r="N66" i="22"/>
  <c r="E97" i="22" s="1"/>
  <c r="N51" i="22"/>
  <c r="D12" i="62"/>
  <c r="J41" i="21"/>
  <c r="I229" i="55"/>
  <c r="I174" i="29"/>
  <c r="I36" i="29"/>
  <c r="I159" i="29"/>
  <c r="I144" i="29"/>
  <c r="I129" i="29"/>
  <c r="G14" i="23"/>
  <c r="C15" i="23" s="1"/>
  <c r="I158" i="72"/>
  <c r="I157" i="72"/>
  <c r="J229" i="55"/>
  <c r="E15" i="21"/>
  <c r="I160" i="29"/>
  <c r="I145" i="29"/>
  <c r="I130" i="29"/>
  <c r="I37" i="29"/>
  <c r="I175" i="29"/>
  <c r="G177" i="84"/>
  <c r="D25" i="21" l="1"/>
  <c r="G155" i="29"/>
  <c r="G32" i="29"/>
  <c r="G170" i="29"/>
  <c r="G125" i="29"/>
  <c r="H166" i="72"/>
  <c r="F39" i="29"/>
  <c r="F15" i="21"/>
  <c r="G6" i="68" s="1"/>
  <c r="F147" i="29"/>
  <c r="G55" i="61"/>
  <c r="E11" i="68" s="1"/>
  <c r="E27" i="68" s="1"/>
  <c r="E28" i="68" s="1"/>
  <c r="F132" i="29"/>
  <c r="J47" i="61"/>
  <c r="J7" i="61"/>
  <c r="I289" i="55" s="1"/>
  <c r="G22" i="21"/>
  <c r="J167" i="72"/>
  <c r="J17" i="61"/>
  <c r="I175" i="84" s="1"/>
  <c r="J36" i="61"/>
  <c r="G8" i="21"/>
  <c r="E22" i="68"/>
  <c r="E180" i="29"/>
  <c r="E181" i="29" s="1"/>
  <c r="E182" i="29" s="1"/>
  <c r="E150" i="29"/>
  <c r="E151" i="29" s="1"/>
  <c r="E152" i="29" s="1"/>
  <c r="E165" i="29"/>
  <c r="E166" i="29" s="1"/>
  <c r="E167" i="29" s="1"/>
  <c r="E135" i="29"/>
  <c r="E136" i="29" s="1"/>
  <c r="E137" i="29" s="1"/>
  <c r="D38" i="21"/>
  <c r="D40" i="21" s="1"/>
  <c r="E41" i="29"/>
  <c r="E43" i="29" s="1"/>
  <c r="E47" i="29" s="1"/>
  <c r="F6" i="68"/>
  <c r="D15" i="23"/>
  <c r="C15" i="29"/>
  <c r="E21" i="62"/>
  <c r="C94" i="29"/>
  <c r="C83" i="29"/>
  <c r="D22" i="29"/>
  <c r="C71" i="29"/>
  <c r="H167" i="72"/>
  <c r="H175" i="84"/>
  <c r="H177" i="84" s="1"/>
  <c r="J8" i="61"/>
  <c r="D109" i="29"/>
  <c r="C45" i="21"/>
  <c r="H49" i="61"/>
  <c r="E18" i="21"/>
  <c r="G302" i="55"/>
  <c r="G305" i="55" s="1"/>
  <c r="G156" i="29"/>
  <c r="G162" i="29" s="1"/>
  <c r="G141" i="29"/>
  <c r="G147" i="29" s="1"/>
  <c r="G126" i="29"/>
  <c r="G171" i="29"/>
  <c r="G177" i="29" s="1"/>
  <c r="G33" i="29"/>
  <c r="G39" i="29" s="1"/>
  <c r="O50" i="22"/>
  <c r="O66" i="22" s="1"/>
  <c r="F97" i="22" s="1"/>
  <c r="O65" i="22"/>
  <c r="K36" i="61"/>
  <c r="K41" i="61" s="1"/>
  <c r="H8" i="21"/>
  <c r="N67" i="22"/>
  <c r="I21" i="61"/>
  <c r="I42" i="61" s="1"/>
  <c r="I44" i="61" s="1"/>
  <c r="J16" i="61"/>
  <c r="H50" i="61"/>
  <c r="E19" i="21"/>
  <c r="G178" i="72"/>
  <c r="G180" i="72" s="1"/>
  <c r="J18" i="61"/>
  <c r="K9" i="61" s="1"/>
  <c r="I156" i="29"/>
  <c r="I141" i="29"/>
  <c r="I126" i="29"/>
  <c r="I33" i="29"/>
  <c r="I171" i="29"/>
  <c r="K18" i="61"/>
  <c r="K21" i="61" s="1"/>
  <c r="K42" i="61" s="1"/>
  <c r="H289" i="55"/>
  <c r="H292" i="55" s="1"/>
  <c r="I12" i="61"/>
  <c r="H22" i="21"/>
  <c r="K47" i="61"/>
  <c r="J274" i="53"/>
  <c r="J276" i="53" s="1"/>
  <c r="H68" i="22"/>
  <c r="I49" i="22"/>
  <c r="J37" i="61"/>
  <c r="G9" i="21"/>
  <c r="H52" i="61"/>
  <c r="E23" i="21"/>
  <c r="G186" i="84"/>
  <c r="G188" i="84" s="1"/>
  <c r="P46" i="22"/>
  <c r="Q43" i="22" s="1"/>
  <c r="Q38" i="22"/>
  <c r="Q39" i="22" s="1"/>
  <c r="K8" i="61" l="1"/>
  <c r="G132" i="29"/>
  <c r="J12" i="61"/>
  <c r="E12" i="68"/>
  <c r="H169" i="72"/>
  <c r="F19" i="21" s="1"/>
  <c r="I167" i="72"/>
  <c r="Q40" i="22"/>
  <c r="F18" i="21"/>
  <c r="I49" i="61"/>
  <c r="H302" i="55"/>
  <c r="H305" i="55" s="1"/>
  <c r="D45" i="21"/>
  <c r="E109" i="29"/>
  <c r="G15" i="21"/>
  <c r="H170" i="29"/>
  <c r="H155" i="29"/>
  <c r="H140" i="29"/>
  <c r="H125" i="29"/>
  <c r="H32" i="29"/>
  <c r="Q44" i="22"/>
  <c r="Q45" i="22" s="1"/>
  <c r="Q46" i="22"/>
  <c r="H171" i="29"/>
  <c r="H156" i="29"/>
  <c r="H141" i="29"/>
  <c r="H126" i="29"/>
  <c r="H33" i="29"/>
  <c r="I170" i="29"/>
  <c r="I177" i="29" s="1"/>
  <c r="I32" i="29"/>
  <c r="I39" i="29" s="1"/>
  <c r="I155" i="29"/>
  <c r="I162" i="29" s="1"/>
  <c r="I140" i="29"/>
  <c r="I147" i="29" s="1"/>
  <c r="I125" i="29"/>
  <c r="I132" i="29" s="1"/>
  <c r="H15" i="21"/>
  <c r="O52" i="22"/>
  <c r="E25" i="21"/>
  <c r="I166" i="72"/>
  <c r="I169" i="72" s="1"/>
  <c r="I174" i="84"/>
  <c r="I177" i="84" s="1"/>
  <c r="C7" i="68"/>
  <c r="C12" i="68" s="1"/>
  <c r="B33" i="69"/>
  <c r="E22" i="62"/>
  <c r="J41" i="61"/>
  <c r="J166" i="72"/>
  <c r="J169" i="72" s="1"/>
  <c r="J174" i="84"/>
  <c r="J177" i="84" s="1"/>
  <c r="I52" i="22"/>
  <c r="I68" i="22" s="1"/>
  <c r="I65" i="22"/>
  <c r="H13" i="69" s="1"/>
  <c r="H15" i="69" s="1"/>
  <c r="I290" i="55"/>
  <c r="I292" i="55" s="1"/>
  <c r="K7" i="61"/>
  <c r="J21" i="61"/>
  <c r="J42" i="61" s="1"/>
  <c r="O51" i="22"/>
  <c r="K44" i="61"/>
  <c r="H54" i="61"/>
  <c r="H55" i="61" s="1"/>
  <c r="F11" i="68" s="1"/>
  <c r="F27" i="68" s="1"/>
  <c r="F28" i="68" s="1"/>
  <c r="F23" i="21"/>
  <c r="I52" i="61"/>
  <c r="H186" i="84"/>
  <c r="H188" i="84" s="1"/>
  <c r="I50" i="61"/>
  <c r="F15" i="23"/>
  <c r="E15" i="23" s="1"/>
  <c r="G15" i="23" s="1"/>
  <c r="C16" i="23" s="1"/>
  <c r="H178" i="72" l="1"/>
  <c r="H180" i="72" s="1"/>
  <c r="G23" i="21"/>
  <c r="J52" i="61"/>
  <c r="I186" i="84"/>
  <c r="I188" i="84" s="1"/>
  <c r="G19" i="21"/>
  <c r="J50" i="61"/>
  <c r="I178" i="72"/>
  <c r="I180" i="72" s="1"/>
  <c r="J289" i="55"/>
  <c r="J292" i="55" s="1"/>
  <c r="K12" i="61"/>
  <c r="K50" i="61"/>
  <c r="H19" i="21"/>
  <c r="J178" i="72"/>
  <c r="J180" i="72" s="1"/>
  <c r="O67" i="22"/>
  <c r="J44" i="61"/>
  <c r="C33" i="69"/>
  <c r="F22" i="68"/>
  <c r="F150" i="29"/>
  <c r="F151" i="29" s="1"/>
  <c r="F152" i="29" s="1"/>
  <c r="F165" i="29"/>
  <c r="F166" i="29" s="1"/>
  <c r="F167" i="29" s="1"/>
  <c r="F135" i="29"/>
  <c r="F136" i="29" s="1"/>
  <c r="F137" i="29" s="1"/>
  <c r="E38" i="21"/>
  <c r="E40" i="21" s="1"/>
  <c r="F180" i="29"/>
  <c r="F181" i="29" s="1"/>
  <c r="F182" i="29" s="1"/>
  <c r="F41" i="29"/>
  <c r="F43" i="29" s="1"/>
  <c r="F47" i="29" s="1"/>
  <c r="H39" i="29"/>
  <c r="H177" i="29"/>
  <c r="D16" i="23"/>
  <c r="E16" i="23" s="1"/>
  <c r="G16" i="23" s="1"/>
  <c r="C17" i="23" s="1"/>
  <c r="O68" i="22"/>
  <c r="P49" i="22"/>
  <c r="H132" i="29"/>
  <c r="H6" i="68"/>
  <c r="K52" i="61"/>
  <c r="H23" i="21"/>
  <c r="J186" i="84"/>
  <c r="J188" i="84" s="1"/>
  <c r="F12" i="68"/>
  <c r="I6" i="68"/>
  <c r="H147" i="29"/>
  <c r="I54" i="61"/>
  <c r="I55" i="61" s="1"/>
  <c r="G11" i="68" s="1"/>
  <c r="J49" i="61"/>
  <c r="G18" i="21"/>
  <c r="I302" i="55"/>
  <c r="I305" i="55" s="1"/>
  <c r="H162" i="29"/>
  <c r="F25" i="21"/>
  <c r="J54" i="61" l="1"/>
  <c r="G25" i="21"/>
  <c r="H180" i="29" s="1"/>
  <c r="H181" i="29" s="1"/>
  <c r="H182" i="29" s="1"/>
  <c r="D17" i="23"/>
  <c r="E17" i="23" s="1"/>
  <c r="G17" i="23" s="1"/>
  <c r="C18" i="23" s="1"/>
  <c r="P50" i="22"/>
  <c r="P65" i="22"/>
  <c r="P52" i="22"/>
  <c r="D33" i="69"/>
  <c r="J55" i="61"/>
  <c r="H11" i="68" s="1"/>
  <c r="H27" i="68" s="1"/>
  <c r="H28" i="68" s="1"/>
  <c r="H18" i="21"/>
  <c r="H25" i="21" s="1"/>
  <c r="K49" i="61"/>
  <c r="K54" i="61" s="1"/>
  <c r="K55" i="61" s="1"/>
  <c r="I11" i="68" s="1"/>
  <c r="I27" i="68" s="1"/>
  <c r="I28" i="68" s="1"/>
  <c r="J302" i="55"/>
  <c r="J305" i="55" s="1"/>
  <c r="G27" i="68"/>
  <c r="G28" i="68" s="1"/>
  <c r="G12" i="68"/>
  <c r="E45" i="21"/>
  <c r="F109" i="29"/>
  <c r="G22" i="68"/>
  <c r="G165" i="29"/>
  <c r="G166" i="29" s="1"/>
  <c r="G167" i="29" s="1"/>
  <c r="G135" i="29"/>
  <c r="G136" i="29" s="1"/>
  <c r="G137" i="29" s="1"/>
  <c r="F38" i="21"/>
  <c r="F40" i="21" s="1"/>
  <c r="G180" i="29"/>
  <c r="G181" i="29" s="1"/>
  <c r="G182" i="29" s="1"/>
  <c r="G150" i="29"/>
  <c r="G151" i="29" s="1"/>
  <c r="G152" i="29" s="1"/>
  <c r="G41" i="29"/>
  <c r="G43" i="29" s="1"/>
  <c r="G47" i="29" s="1"/>
  <c r="G38" i="21" l="1"/>
  <c r="G40" i="21" s="1"/>
  <c r="G45" i="21" s="1"/>
  <c r="H165" i="29"/>
  <c r="H166" i="29" s="1"/>
  <c r="H167" i="29" s="1"/>
  <c r="H41" i="29"/>
  <c r="H43" i="29" s="1"/>
  <c r="H47" i="29" s="1"/>
  <c r="H135" i="29"/>
  <c r="H136" i="29" s="1"/>
  <c r="H137" i="29" s="1"/>
  <c r="H22" i="68"/>
  <c r="H150" i="29"/>
  <c r="H151" i="29" s="1"/>
  <c r="H152" i="29" s="1"/>
  <c r="I12" i="68"/>
  <c r="D18" i="23"/>
  <c r="E18" i="23" s="1"/>
  <c r="G18" i="23" s="1"/>
  <c r="C19" i="23" s="1"/>
  <c r="Q49" i="22"/>
  <c r="P68" i="22"/>
  <c r="P66" i="22"/>
  <c r="G97" i="22" s="1"/>
  <c r="P51" i="22"/>
  <c r="H109" i="29"/>
  <c r="F45" i="21"/>
  <c r="G109" i="29"/>
  <c r="I22" i="68"/>
  <c r="I180" i="29"/>
  <c r="I181" i="29" s="1"/>
  <c r="I182" i="29" s="1"/>
  <c r="I150" i="29"/>
  <c r="I151" i="29" s="1"/>
  <c r="I152" i="29" s="1"/>
  <c r="I165" i="29"/>
  <c r="I166" i="29" s="1"/>
  <c r="I167" i="29" s="1"/>
  <c r="H38" i="21"/>
  <c r="H40" i="21" s="1"/>
  <c r="I135" i="29"/>
  <c r="I136" i="29" s="1"/>
  <c r="I137" i="29" s="1"/>
  <c r="I41" i="29"/>
  <c r="I43" i="29" s="1"/>
  <c r="I47" i="29" s="1"/>
  <c r="C49" i="29" s="1"/>
  <c r="D28" i="62" s="1"/>
  <c r="E33" i="69"/>
  <c r="H12" i="68"/>
  <c r="D19" i="23" l="1"/>
  <c r="E19" i="23" s="1"/>
  <c r="G19" i="23" s="1"/>
  <c r="C20" i="23" s="1"/>
  <c r="Q65" i="22"/>
  <c r="Q50" i="22"/>
  <c r="Q66" i="22" s="1"/>
  <c r="H97" i="22" s="1"/>
  <c r="F33" i="69"/>
  <c r="H45" i="21"/>
  <c r="I109" i="29"/>
  <c r="Q51" i="22"/>
  <c r="Q67" i="22" s="1"/>
  <c r="P67" i="22"/>
  <c r="D20" i="23" l="1"/>
  <c r="E20" i="23" s="1"/>
  <c r="G20" i="23" s="1"/>
  <c r="C21" i="23" s="1"/>
  <c r="G33" i="69"/>
  <c r="Q52" i="22"/>
  <c r="Q68" i="22" s="1"/>
  <c r="D21" i="23" l="1"/>
  <c r="H33" i="69"/>
  <c r="E21" i="23" l="1"/>
  <c r="C26" i="68"/>
  <c r="B47" i="21" l="1"/>
  <c r="B49" i="21" s="1"/>
  <c r="C112" i="29"/>
  <c r="C113" i="29" s="1"/>
  <c r="C25" i="68"/>
  <c r="G21" i="23"/>
  <c r="C115" i="29" l="1"/>
  <c r="C117" i="29" s="1"/>
  <c r="C119" i="29" s="1"/>
  <c r="D33" i="62" s="1"/>
  <c r="B28" i="69"/>
  <c r="B31" i="69" s="1"/>
  <c r="C22" i="23"/>
  <c r="B95" i="22"/>
  <c r="B98" i="22" s="1"/>
  <c r="B99" i="22" s="1"/>
  <c r="B50" i="21" s="1"/>
  <c r="C29" i="68" s="1"/>
  <c r="C30" i="68" s="1"/>
  <c r="C31" i="68" s="1"/>
  <c r="C33" i="68" s="1"/>
  <c r="J40" i="21"/>
  <c r="J42" i="21" s="1"/>
  <c r="B8" i="69" l="1"/>
  <c r="B11" i="69" s="1"/>
  <c r="B20" i="69" s="1"/>
  <c r="D32" i="68"/>
  <c r="B51" i="21"/>
  <c r="D22" i="23"/>
  <c r="C80" i="29" l="1"/>
  <c r="D9" i="29"/>
  <c r="D14" i="29" s="1"/>
  <c r="B53" i="21"/>
  <c r="D95" i="29"/>
  <c r="D98" i="29" s="1"/>
  <c r="D99" i="29" s="1"/>
  <c r="C58" i="29"/>
  <c r="C63" i="29" s="1"/>
  <c r="C67" i="29" s="1"/>
  <c r="E22" i="23"/>
  <c r="G22" i="23" l="1"/>
  <c r="C23" i="23" s="1"/>
  <c r="B37" i="69"/>
  <c r="B39" i="69" s="1"/>
  <c r="D15" i="29"/>
  <c r="D23" i="23" l="1"/>
  <c r="C36" i="69"/>
  <c r="B41" i="69"/>
  <c r="B43" i="69" s="1"/>
  <c r="B46" i="69" s="1"/>
  <c r="E23" i="23" l="1"/>
  <c r="G23" i="23" l="1"/>
  <c r="C24" i="23" s="1"/>
  <c r="D24" i="23" l="1"/>
  <c r="E24" i="23" l="1"/>
  <c r="G24" i="23" l="1"/>
  <c r="C25" i="23" s="1"/>
  <c r="D25" i="23" l="1"/>
  <c r="E25" i="23" l="1"/>
  <c r="G25" i="23" l="1"/>
  <c r="C26" i="23" s="1"/>
  <c r="D26" i="23" l="1"/>
  <c r="E26" i="23" l="1"/>
  <c r="G26" i="23" l="1"/>
  <c r="C27" i="23" s="1"/>
  <c r="D27" i="23" l="1"/>
  <c r="E27" i="23" s="1"/>
  <c r="G27" i="23"/>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C47" i="21" l="1"/>
  <c r="C49" i="21" s="1"/>
  <c r="D112" i="29"/>
  <c r="D113" i="29" s="1"/>
  <c r="D25" i="68"/>
  <c r="G33" i="23"/>
  <c r="C34" i="23" l="1"/>
  <c r="C28" i="69"/>
  <c r="C31" i="69" s="1"/>
  <c r="D115" i="29"/>
  <c r="D117" i="29" s="1"/>
  <c r="C95" i="22"/>
  <c r="C98" i="22" s="1"/>
  <c r="C99" i="22" s="1"/>
  <c r="C50" i="21" s="1"/>
  <c r="D29" i="68" s="1"/>
  <c r="D30" i="68" s="1"/>
  <c r="D31" i="68" s="1"/>
  <c r="D33" i="68" s="1"/>
  <c r="C51" i="21" l="1"/>
  <c r="D58" i="29" s="1"/>
  <c r="D63" i="29" s="1"/>
  <c r="D67" i="29" s="1"/>
  <c r="E32" i="68"/>
  <c r="C8" i="69"/>
  <c r="C11" i="69" s="1"/>
  <c r="C20" i="69" s="1"/>
  <c r="D34" i="23"/>
  <c r="E95" i="29" l="1"/>
  <c r="E98" i="29" s="1"/>
  <c r="E99" i="29" s="1"/>
  <c r="D80" i="29"/>
  <c r="C53" i="21"/>
  <c r="C37" i="69"/>
  <c r="C39" i="69" s="1"/>
  <c r="C41" i="69" s="1"/>
  <c r="C43" i="69" s="1"/>
  <c r="C46" i="69" s="1"/>
  <c r="E9" i="29"/>
  <c r="E14" i="29" s="1"/>
  <c r="E15" i="29" s="1"/>
  <c r="E34" i="23"/>
  <c r="D36" i="69" l="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12" i="29" l="1"/>
  <c r="E113" i="29" s="1"/>
  <c r="D47" i="21"/>
  <c r="D49" i="21" s="1"/>
  <c r="E25" i="68"/>
  <c r="G45" i="23"/>
  <c r="C46" i="23" l="1"/>
  <c r="D28" i="69"/>
  <c r="D31" i="69" s="1"/>
  <c r="E115" i="29"/>
  <c r="D95" i="22"/>
  <c r="D98" i="22" s="1"/>
  <c r="D99" i="22" s="1"/>
  <c r="D50" i="21" s="1"/>
  <c r="E29" i="68" s="1"/>
  <c r="E30" i="68" s="1"/>
  <c r="E31" i="68" s="1"/>
  <c r="E33" i="68" s="1"/>
  <c r="E117" i="29"/>
  <c r="D51" i="21" l="1"/>
  <c r="D37" i="69" s="1"/>
  <c r="D39" i="69" s="1"/>
  <c r="F32" i="68"/>
  <c r="D8" i="69"/>
  <c r="D11" i="69" s="1"/>
  <c r="D20" i="69" s="1"/>
  <c r="D46" i="23"/>
  <c r="D53" i="21" l="1"/>
  <c r="E58" i="29"/>
  <c r="E63" i="29" s="1"/>
  <c r="E67" i="29" s="1"/>
  <c r="F9" i="29"/>
  <c r="F14" i="29" s="1"/>
  <c r="F15" i="29" s="1"/>
  <c r="F95" i="29"/>
  <c r="F98" i="29" s="1"/>
  <c r="F99" i="29" s="1"/>
  <c r="E80" i="29"/>
  <c r="E46" i="23"/>
  <c r="E36" i="69"/>
  <c r="D41" i="69"/>
  <c r="D43" i="69" s="1"/>
  <c r="D46" i="69" s="1"/>
  <c r="G46" i="23" l="1"/>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F112" i="29" l="1"/>
  <c r="F113" i="29" s="1"/>
  <c r="E47" i="21"/>
  <c r="E49" i="21" s="1"/>
  <c r="F25" i="68"/>
  <c r="G57" i="23"/>
  <c r="E28" i="69" l="1"/>
  <c r="E31" i="69" s="1"/>
  <c r="C58" i="23"/>
  <c r="F115" i="29"/>
  <c r="E95" i="22"/>
  <c r="E98" i="22" s="1"/>
  <c r="E99" i="22" s="1"/>
  <c r="E50" i="21" s="1"/>
  <c r="F29" i="68" s="1"/>
  <c r="F30" i="68" s="1"/>
  <c r="F31" i="68" s="1"/>
  <c r="F33" i="68" s="1"/>
  <c r="F117" i="29"/>
  <c r="G32" i="68" l="1"/>
  <c r="E8" i="69"/>
  <c r="E11" i="69" s="1"/>
  <c r="E20" i="69" s="1"/>
  <c r="E51" i="21"/>
  <c r="D58" i="23"/>
  <c r="E58" i="23" l="1"/>
  <c r="G95" i="29"/>
  <c r="G98" i="29" s="1"/>
  <c r="G99" i="29" s="1"/>
  <c r="F58" i="29"/>
  <c r="F63" i="29" s="1"/>
  <c r="F67" i="29" s="1"/>
  <c r="E37" i="69"/>
  <c r="E39" i="69" s="1"/>
  <c r="G9" i="29"/>
  <c r="G14" i="29" s="1"/>
  <c r="F80" i="29"/>
  <c r="E53" i="21"/>
  <c r="F36" i="69" l="1"/>
  <c r="E41" i="69"/>
  <c r="E43" i="69" s="1"/>
  <c r="E46" i="69" s="1"/>
  <c r="G15" i="29"/>
  <c r="G58" i="23"/>
  <c r="C59" i="23" s="1"/>
  <c r="D59" i="23" l="1"/>
  <c r="E59" i="23" l="1"/>
  <c r="G59" i="23" l="1"/>
  <c r="C60" i="23" s="1"/>
  <c r="D60" i="23" l="1"/>
  <c r="E60" i="23" l="1"/>
  <c r="G60" i="23" l="1"/>
  <c r="C61" i="23" s="1"/>
  <c r="D61" i="23" l="1"/>
  <c r="E61" i="23" l="1"/>
  <c r="G61" i="23" l="1"/>
  <c r="C62" i="23" s="1"/>
  <c r="D62" i="23" l="1"/>
  <c r="E62" i="23" l="1"/>
  <c r="G62" i="23" l="1"/>
  <c r="C63" i="23" s="1"/>
  <c r="G63" i="23" l="1"/>
  <c r="C64" i="23" s="1"/>
  <c r="D63" i="23"/>
  <c r="E63"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l="1"/>
  <c r="F49" i="21" s="1"/>
  <c r="G112" i="29"/>
  <c r="G113" i="29" s="1"/>
  <c r="G25" i="68"/>
  <c r="G69" i="23"/>
  <c r="C70" i="23" l="1"/>
  <c r="F28" i="69"/>
  <c r="F31" i="69" s="1"/>
  <c r="G115" i="29"/>
  <c r="G117" i="29" s="1"/>
  <c r="F95" i="22"/>
  <c r="F98" i="22" s="1"/>
  <c r="F99" i="22" s="1"/>
  <c r="F50" i="21" s="1"/>
  <c r="G29" i="68" s="1"/>
  <c r="G30" i="68" s="1"/>
  <c r="G31" i="68" s="1"/>
  <c r="G33" i="68" s="1"/>
  <c r="H32" i="68" l="1"/>
  <c r="F8" i="69"/>
  <c r="F11" i="69" s="1"/>
  <c r="F20" i="69" s="1"/>
  <c r="F51" i="21"/>
  <c r="D70" i="23"/>
  <c r="F37" i="69" l="1"/>
  <c r="F39" i="69" s="1"/>
  <c r="G80" i="29"/>
  <c r="H9" i="29"/>
  <c r="H14" i="29" s="1"/>
  <c r="H95" i="29"/>
  <c r="H98" i="29" s="1"/>
  <c r="G58" i="29"/>
  <c r="G63" i="29" s="1"/>
  <c r="G67" i="29" s="1"/>
  <c r="F53" i="21"/>
  <c r="E70" i="23"/>
  <c r="D101" i="29" l="1"/>
  <c r="D32" i="62" s="1"/>
  <c r="H99" i="29"/>
  <c r="H15" i="29"/>
  <c r="G70" i="23"/>
  <c r="C71" i="23" s="1"/>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G47" i="21" l="1"/>
  <c r="G49" i="21" s="1"/>
  <c r="H112" i="29"/>
  <c r="H113" i="29" s="1"/>
  <c r="H25" i="68"/>
  <c r="G81" i="23"/>
  <c r="C82" i="23" l="1"/>
  <c r="G28" i="69"/>
  <c r="G31" i="69" s="1"/>
  <c r="H115" i="29"/>
  <c r="H117" i="29" s="1"/>
  <c r="G95" i="22"/>
  <c r="G98" i="22" s="1"/>
  <c r="G99" i="22" s="1"/>
  <c r="G50" i="21" s="1"/>
  <c r="H29" i="68" s="1"/>
  <c r="H30" i="68" s="1"/>
  <c r="H31" i="68" s="1"/>
  <c r="H33" i="68" s="1"/>
  <c r="I32" i="68" l="1"/>
  <c r="G8" i="69"/>
  <c r="G11" i="69" s="1"/>
  <c r="G20" i="69" s="1"/>
  <c r="G51" i="21"/>
  <c r="D82" i="23"/>
  <c r="I9" i="29" l="1"/>
  <c r="I14" i="29" s="1"/>
  <c r="H80" i="29"/>
  <c r="H58" i="29"/>
  <c r="H63" i="29" s="1"/>
  <c r="H67" i="29" s="1"/>
  <c r="G37" i="69"/>
  <c r="G39" i="69" s="1"/>
  <c r="I95" i="29"/>
  <c r="I98" i="29" s="1"/>
  <c r="G53" i="21"/>
  <c r="E82" i="23"/>
  <c r="H36" i="69" l="1"/>
  <c r="G41" i="69"/>
  <c r="G43" i="69" s="1"/>
  <c r="G46" i="69" s="1"/>
  <c r="G82" i="23"/>
  <c r="C83" i="23" s="1"/>
  <c r="I15" i="29"/>
  <c r="D83" i="23" l="1"/>
  <c r="E83" i="23" l="1"/>
  <c r="G83" i="23" l="1"/>
  <c r="C84" i="23" s="1"/>
  <c r="D84" i="23" l="1"/>
  <c r="E84" i="23" l="1"/>
  <c r="G84" i="23" l="1"/>
  <c r="C85" i="23" s="1"/>
  <c r="D85" i="23" l="1"/>
  <c r="E85" i="23" l="1"/>
  <c r="G85" i="23" l="1"/>
  <c r="C86" i="23" s="1"/>
  <c r="D86" i="23" l="1"/>
  <c r="E86" i="23" l="1"/>
  <c r="G86" i="23" l="1"/>
  <c r="C87" i="23" s="1"/>
  <c r="G87" i="23" l="1"/>
  <c r="C88" i="23" s="1"/>
  <c r="D87" i="23"/>
  <c r="E87"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12" i="29" l="1"/>
  <c r="I113" i="29" s="1"/>
  <c r="H47" i="21"/>
  <c r="H49" i="21" s="1"/>
  <c r="E94" i="23"/>
  <c r="I25" i="68"/>
  <c r="G93" i="23"/>
  <c r="I115" i="29" l="1"/>
  <c r="H95" i="22"/>
  <c r="H98" i="22" s="1"/>
  <c r="H99" i="22" s="1"/>
  <c r="H50" i="21" s="1"/>
  <c r="I29" i="68" s="1"/>
  <c r="I30" i="68" s="1"/>
  <c r="I31" i="68" s="1"/>
  <c r="I33" i="68" s="1"/>
  <c r="H8" i="69" s="1"/>
  <c r="H11" i="69" s="1"/>
  <c r="H20" i="69" s="1"/>
  <c r="I117" i="29"/>
  <c r="H51" i="21" l="1"/>
  <c r="J95" i="29" l="1"/>
  <c r="J98" i="29" s="1"/>
  <c r="I58" i="29"/>
  <c r="I63" i="29" s="1"/>
  <c r="I67" i="29" s="1"/>
  <c r="C69" i="29" s="1"/>
  <c r="C73" i="29" s="1"/>
  <c r="D31" i="62" s="1"/>
  <c r="H37" i="69"/>
  <c r="H39" i="69" s="1"/>
  <c r="H41" i="69" s="1"/>
  <c r="H43" i="69" s="1"/>
  <c r="H46" i="69" s="1"/>
  <c r="I80" i="29"/>
  <c r="C82" i="29" s="1"/>
  <c r="C85" i="29" s="1"/>
  <c r="D29" i="62" s="1"/>
  <c r="J9" i="29"/>
  <c r="J14" i="29" s="1"/>
  <c r="H53" i="21"/>
  <c r="J15" i="29" l="1"/>
  <c r="C16" i="2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<sst xmlns="http://schemas.openxmlformats.org/spreadsheetml/2006/main" count="1461" uniqueCount="739">
  <si>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</si>
  <si>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</si>
  <si>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</si>
  <si>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</si>
  <si>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</si>
  <si>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</si>
  <si>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</si>
  <si>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</si>
  <si>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</si>
  <si>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</si>
  <si>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</si>
  <si>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</si>
  <si>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</si>
  <si>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</si>
  <si>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</si>
  <si>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</si>
  <si>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</si>
  <si>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</si>
  <si>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</si>
  <si>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</si>
  <si>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</si>
  <si>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</si>
  <si>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</si>
  <si>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</si>
  <si>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</si>
  <si>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</si>
  <si>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</si>
  <si>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</si>
  <si>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</si>
  <si>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</si>
  <si>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</si>
  <si>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</si>
  <si>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</si>
  <si>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</si>
  <si>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</si>
  <si>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</si>
  <si>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</si>
  <si>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</si>
  <si>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</si>
  <si>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</si>
  <si>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</si>
  <si>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</si>
  <si>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</si>
  <si>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</si>
  <si>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</si>
  <si>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</si>
  <si>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</si>
  <si>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</si>
  <si>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</si>
  <si>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</si>
  <si>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</si>
  <si>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</si>
  <si>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</si>
  <si>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</si>
  <si>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</si>
  <si>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</si>
  <si>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</si>
  <si>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</si>
  <si>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</si>
  <si>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</si>
  <si>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</si>
  <si>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</si>
  <si>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</si>
  <si>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</si>
  <si>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</si>
  <si>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</si>
  <si>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</si>
  <si>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</si>
  <si>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</si>
  <si>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</si>
  <si>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</si>
  <si>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</si>
  <si>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</si>
  <si>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</si>
  <si>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</si>
  <si>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</si>
  <si>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</si>
  <si>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</si>
  <si>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</si>
  <si>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</si>
  <si>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</si>
  <si>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</si>
  <si>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</si>
  <si>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</si>
  <si>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</si>
  <si>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</si>
  <si>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</si>
  <si>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</si>
  <si>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</si>
  <si>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</si>
  <si>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</si>
  <si>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</si>
  <si>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</si>
  <si>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</si>
  <si>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</si>
  <si>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</si>
  <si>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</si>
  <si>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</si>
  <si>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</si>
  <si>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</si>
  <si>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</si>
  <si>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</si>
  <si>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</si>
  <si>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</si>
  <si>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</si>
  <si>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</si>
  <si>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</si>
  <si>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</si>
  <si>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</si>
  <si>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</si>
  <si>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</si>
  <si>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</si>
  <si>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</si>
  <si>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</si>
  <si>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</si>
  <si>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</si>
  <si>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</si>
  <si>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</si>
  <si>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</si>
  <si>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</si>
  <si>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</si>
  <si>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</si>
  <si>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</si>
  <si>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</si>
  <si>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</si>
  <si>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</si>
  <si>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</si>
  <si>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</si>
  <si>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</si>
  <si>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</si>
  <si>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</si>
  <si>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</si>
  <si>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</si>
  <si>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</si>
  <si>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</si>
  <si>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</si>
  <si>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</si>
  <si>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</si>
  <si>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</si>
  <si>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</si>
  <si>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</si>
  <si>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</si>
  <si>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</si>
  <si>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</si>
  <si>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</si>
  <si>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</si>
  <si>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</si>
  <si>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</si>
  <si>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</si>
  <si>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</si>
  <si>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</si>
  <si>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</si>
  <si>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</si>
  <si>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</si>
  <si>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</si>
  <si>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</si>
  <si>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</si>
  <si>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</si>
  <si>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</si>
  <si>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</si>
  <si>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</si>
  <si>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</si>
  <si>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</si>
  <si>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</si>
  <si>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</si>
  <si>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</si>
  <si>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</si>
  <si>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</si>
  <si>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</si>
  <si>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</si>
  <si>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</si>
  <si>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</si>
  <si>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</si>
  <si>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</si>
  <si>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</si>
  <si>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</si>
  <si>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</si>
  <si>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</si>
  <si>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</si>
  <si>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</si>
  <si>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</si>
  <si>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</si>
  <si>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</si>
  <si>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</si>
  <si>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</si>
  <si>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</si>
  <si>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</si>
  <si>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</si>
  <si>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</si>
  <si>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</si>
  <si>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</si>
  <si>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</si>
  <si>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</si>
  <si>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</si>
  <si>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</si>
  <si>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</si>
  <si>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</si>
  <si>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</si>
  <si>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</si>
  <si>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</si>
  <si>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</si>
  <si>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</si>
  <si>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</si>
  <si>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</si>
  <si>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</si>
  <si>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</si>
  <si>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</si>
  <si>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</si>
  <si>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</si>
  <si>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</si>
  <si>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</si>
  <si>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</si>
  <si>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</si>
  <si>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</si>
  <si>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</si>
  <si>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</si>
  <si>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</si>
  <si>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</si>
  <si>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</si>
  <si>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</si>
  <si>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</si>
  <si>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</si>
  <si>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</si>
  <si>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</si>
  <si>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</si>
  <si>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</si>
  <si>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</si>
  <si>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</si>
  <si>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</si>
  <si>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</si>
  <si>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</si>
  <si>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</si>
  <si>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</si>
  <si>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</si>
  <si>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</si>
  <si>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</si>
  <si>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</si>
  <si>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</si>
  <si>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</si>
  <si>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</si>
  <si>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</si>
  <si>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</si>
  <si>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</si>
  <si>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</si>
  <si>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</si>
  <si>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</si>
  <si>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</si>
  <si>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</si>
  <si>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</si>
  <si>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</si>
  <si>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</si>
  <si>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</si>
  <si>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</si>
  <si>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</si>
  <si>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</si>
  <si>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</si>
  <si>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</si>
  <si>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</si>
  <si>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</si>
  <si>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</si>
  <si>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</si>
  <si>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</si>
  <si>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</si>
  <si>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</si>
  <si>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</si>
  <si>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</si>
  <si>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</si>
  <si>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</si>
  <si>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</si>
  <si>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</si>
  <si>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</si>
  <si>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</si>
  <si>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</si>
  <si>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</si>
  <si>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</si>
  <si>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</si>
  <si>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</si>
  <si>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</si>
  <si>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</si>
  <si>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</si>
  <si>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</si>
  <si>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</si>
  <si>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</si>
  <si>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</si>
  <si>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</si>
  <si>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</si>
  <si>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</si>
  <si>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</si>
  <si>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</si>
  <si>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</si>
  <si>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</si>
  <si>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</si>
  <si>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</si>
  <si>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</si>
  <si>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</si>
  <si>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</si>
  <si>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</si>
  <si>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</si>
  <si>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</si>
  <si>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</si>
  <si>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</si>
  <si>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</si>
  <si>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</si>
  <si>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</si>
  <si>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</si>
  <si>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</si>
  <si>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</si>
  <si>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</si>
  <si>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</si>
  <si>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</si>
  <si>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</si>
  <si>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</si>
  <si>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</si>
  <si>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</si>
  <si>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</si>
  <si>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</si>
  <si>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</si>
  <si>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</si>
  <si>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</si>
  <si>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</si>
  <si>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</si>
  <si>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</si>
  <si>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</si>
  <si>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</si>
  <si>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</si>
  <si>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</si>
  <si>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</si>
  <si>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</si>
  <si>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</si>
  <si>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</si>
  <si>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</si>
  <si>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</si>
  <si>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</si>
  <si>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</si>
  <si>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</si>
  <si>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</si>
  <si>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</si>
  <si>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</si>
  <si>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</si>
  <si>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</si>
  <si>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</si>
  <si>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</si>
  <si>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</si>
  <si>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</si>
  <si>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</si>
  <si>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</si>
  <si>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</si>
  <si>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</si>
  <si>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</si>
  <si>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</si>
  <si>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</si>
  <si>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</si>
  <si>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</si>
  <si>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</si>
  <si>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</si>
  <si>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</si>
  <si>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</si>
  <si>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</si>
  <si>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</si>
  <si>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</si>
  <si>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</si>
  <si>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</si>
  <si>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</si>
  <si>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</si>
  <si>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</si>
  <si>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</si>
  <si>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</si>
  <si>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</si>
  <si>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</si>
  <si>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</si>
  <si>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</si>
  <si>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</si>
  <si>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</si>
  <si>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</si>
  <si>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</si>
  <si>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</si>
  <si>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</si>
  <si>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</si>
  <si>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</si>
  <si>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</si>
  <si>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</si>
  <si>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</si>
  <si>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</si>
  <si>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</si>
  <si>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</si>
  <si>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</si>
  <si>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</si>
  <si>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</si>
  <si>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</si>
  <si>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</si>
  <si>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</si>
  <si>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</si>
  <si>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</si>
  <si>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</si>
  <si>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</si>
  <si>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</si>
  <si>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</si>
  <si>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</si>
  <si>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</si>
  <si>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</si>
  <si>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</si>
  <si>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</si>
  <si>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</si>
  <si>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</si>
  <si>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</si>
  <si>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</si>
  <si>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</si>
  <si>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</si>
  <si>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</si>
  <si>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</si>
  <si>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</si>
  <si>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</si>
  <si>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</si>
  <si>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</si>
  <si>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</si>
  <si>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</si>
  <si>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</si>
  <si>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</si>
  <si>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</si>
  <si>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</si>
  <si>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</si>
  <si>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</si>
  <si>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</si>
  <si>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</si>
  <si>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</si>
  <si>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</si>
  <si>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</si>
  <si>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</si>
  <si>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</si>
  <si>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</si>
  <si>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</si>
  <si>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</si>
  <si>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</si>
  <si>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</si>
  <si>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</si>
  <si>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</si>
  <si>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</si>
  <si>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</si>
  <si>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</si>
  <si>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</si>
  <si>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</si>
  <si>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</si>
  <si>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Rotavator</t>
  </si>
  <si>
    <t>BBF Seed Sowing Machine</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</si>
  <si>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</si>
  <si>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</si>
  <si>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</si>
  <si>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</si>
  <si>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</si>
  <si>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</si>
  <si>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</si>
  <si>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</si>
  <si>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</si>
  <si>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</si>
  <si>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</si>
  <si>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</si>
  <si>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</si>
  <si>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</si>
  <si>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</si>
  <si>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</si>
  <si>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</si>
  <si>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</si>
  <si>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</si>
  <si>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</si>
  <si>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</si>
  <si>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</si>
  <si>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</si>
  <si>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</si>
  <si>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</si>
  <si>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</si>
  <si>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</si>
  <si>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</si>
  <si>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</si>
  <si>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</si>
  <si>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</si>
  <si>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</si>
  <si>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</si>
  <si>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</si>
  <si>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</si>
  <si>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</si>
  <si>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</si>
  <si>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</si>
  <si>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</si>
  <si>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</si>
  <si>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</si>
  <si>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</si>
  <si>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</si>
  <si>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</si>
  <si>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</si>
  <si>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</si>
  <si>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</si>
  <si>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</si>
  <si>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</si>
  <si>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</si>
  <si>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</si>
  <si>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</si>
  <si>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</si>
  <si>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</si>
  <si>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</si>
  <si>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</si>
  <si>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</si>
  <si>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</si>
  <si>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</si>
  <si>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</si>
  <si>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</si>
  <si>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</si>
  <si>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</si>
  <si>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</si>
  <si>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</si>
  <si>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</si>
  <si>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</si>
  <si>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</si>
  <si>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</si>
  <si>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</si>
  <si>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</si>
  <si>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</si>
  <si>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</si>
  <si>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</si>
  <si>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</si>
  <si>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</si>
  <si>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</si>
  <si>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</si>
  <si>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</si>
  <si>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</si>
  <si>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</si>
  <si>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</si>
  <si>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</si>
  <si>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</si>
  <si>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</si>
  <si>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</si>
  <si>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</si>
  <si>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</si>
  <si>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</si>
  <si>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</si>
  <si>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</si>
  <si>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</si>
  <si>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</si>
  <si>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</si>
  <si>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</si>
  <si>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</si>
  <si>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</si>
  <si>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</si>
  <si>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</si>
  <si>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</si>
  <si>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</si>
  <si>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</si>
  <si>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</si>
  <si>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</si>
  <si>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</si>
  <si>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</si>
  <si>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</si>
  <si>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</si>
  <si>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</si>
  <si>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</si>
  <si>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</si>
  <si>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</si>
  <si>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</si>
  <si>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</si>
  <si>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</si>
  <si>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</si>
  <si>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</si>
  <si>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</si>
  <si>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</si>
  <si>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</si>
  <si>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</si>
  <si>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</si>
  <si>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</si>
  <si>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</si>
  <si>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</si>
  <si>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</si>
  <si>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</si>
  <si>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</si>
  <si>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</si>
  <si>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</si>
  <si>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</si>
  <si>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</si>
  <si>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</si>
  <si>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</si>
  <si>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</si>
  <si>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</si>
  <si>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</si>
  <si>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</si>
  <si>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</si>
  <si>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</si>
  <si>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</si>
  <si>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</si>
  <si>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</si>
  <si>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</si>
  <si>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</si>
  <si>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</si>
  <si>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</si>
  <si>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</si>
  <si>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</si>
  <si>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</si>
  <si>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</si>
  <si>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</si>
  <si>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</si>
  <si>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</si>
  <si>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</si>
  <si>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</si>
  <si>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</si>
  <si>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</si>
  <si>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</si>
  <si>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</si>
  <si>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</si>
  <si>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</si>
  <si>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</si>
  <si>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</si>
  <si>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</si>
  <si>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</si>
  <si>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</si>
  <si>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</si>
  <si>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</si>
  <si>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</si>
  <si>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</si>
  <si>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</si>
  <si>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</si>
  <si>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</si>
  <si>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</si>
  <si>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</si>
  <si>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</si>
  <si>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</si>
  <si>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</si>
  <si>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</si>
  <si>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</si>
  <si>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</si>
  <si>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</si>
  <si>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</si>
  <si>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</si>
  <si>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</si>
  <si>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</si>
  <si>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</si>
  <si>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</si>
  <si>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</si>
  <si>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</si>
  <si>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</si>
  <si>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</si>
  <si>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</si>
  <si>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</si>
  <si>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</si>
  <si>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</si>
  <si>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</si>
  <si>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</si>
  <si>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</si>
  <si>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</si>
  <si>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</si>
  <si>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</si>
  <si>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</si>
  <si>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</si>
  <si>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</si>
  <si>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</si>
  <si>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</si>
  <si>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</si>
  <si>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</si>
  <si>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</si>
  <si>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</si>
  <si>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</si>
  <si>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</si>
  <si>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</si>
  <si>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</si>
  <si>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</si>
  <si>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</si>
  <si>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</si>
  <si>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</si>
  <si>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</si>
  <si>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</si>
  <si>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</si>
  <si>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</si>
  <si>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</si>
  <si>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</si>
  <si>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</si>
  <si>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</si>
  <si>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</si>
  <si>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</si>
  <si>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</si>
  <si>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</si>
  <si>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</si>
  <si>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</si>
  <si>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</si>
  <si>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</si>
  <si>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</si>
  <si>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</si>
  <si>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</si>
  <si>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</si>
  <si>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</si>
  <si>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</si>
  <si>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</si>
  <si>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</si>
  <si>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</si>
  <si>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</si>
  <si>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</si>
  <si>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</si>
  <si>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</si>
  <si>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</si>
  <si>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</si>
  <si>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</si>
  <si>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</si>
  <si>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</si>
  <si>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</si>
  <si>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</si>
  <si>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</si>
  <si>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</si>
  <si>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</si>
  <si>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</si>
  <si>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</si>
  <si>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</si>
  <si>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</si>
  <si>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S.W. I - W.H.BUILDING 250M T</t>
  </si>
  <si>
    <t>250.00 sq m Rs 2202562 8810 Cost per MT</t>
  </si>
  <si>
    <t>S.W. II :- ELECTRIFICATION 250 MT Rs 25000 100 Cost per MT</t>
  </si>
  <si>
    <t>Computer</t>
  </si>
  <si>
    <t>Furniture</t>
  </si>
  <si>
    <t>Harvester</t>
  </si>
  <si>
    <t>Godown</t>
  </si>
  <si>
    <t>tractor</t>
  </si>
  <si>
    <t>trolly</t>
  </si>
  <si>
    <t>Retro seeder</t>
  </si>
  <si>
    <t>Bellor with collector</t>
  </si>
  <si>
    <t>Pickup van</t>
  </si>
  <si>
    <t>rota vetor</t>
  </si>
  <si>
    <t>Solar setup</t>
  </si>
  <si>
    <t>furniture</t>
  </si>
  <si>
    <t>Tractor</t>
  </si>
  <si>
    <t>Harvestor</t>
  </si>
  <si>
    <t>Collector</t>
  </si>
  <si>
    <t>25KW</t>
  </si>
  <si>
    <t>Preoperative expenses</t>
  </si>
  <si>
    <t>GODOWN</t>
  </si>
  <si>
    <t>PADDY SEED PROCESING SHED</t>
  </si>
  <si>
    <t>PRE-CAST COMPOUND WALL</t>
  </si>
  <si>
    <t>SOLAR SETUP 25KW</t>
  </si>
  <si>
    <t>2000MT</t>
  </si>
  <si>
    <t>800 sqft</t>
  </si>
  <si>
    <t>PADDY  SEED PROCESSING UNIT</t>
  </si>
  <si>
    <t>TRACTOR</t>
  </si>
  <si>
    <t>HYDROULIC TROLLY</t>
  </si>
  <si>
    <t>ROTAVETOR</t>
  </si>
  <si>
    <t>SUPPER SEED DRILL</t>
  </si>
  <si>
    <t>ROUND BELLAR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</si>
</sst>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1" fontId="0" fillId="0" borderId="0" xfId="0" applyNumberFormat="1"/>
    <xf numFmtId="169" fontId="28" fillId="0" borderId="11" xfId="2" applyNumberFormat="1" applyFont="1" applyFill="1" applyBorder="1"/>
    <xf numFmtId="4" fontId="0" fillId="0" borderId="8" xfId="0" applyNumberFormat="1" applyBorder="1" applyAlignment="1">
      <alignment vertical="center" wrapText="1"/>
    </xf>
    <xf numFmtId="4" fontId="0" fillId="0" borderId="9" xfId="0" applyNumberForma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6" fillId="0" borderId="0" xfId="0" applyFont="1" applyFill="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nvestopedia.com/terms/d/discountrate.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22" workbookViewId="0">
      <selection activeCell="D29" sqref="D29"/>
    </sheetView>
  </sheetViews>
  <sheetFormatPr defaultColWidth="9.1796875" defaultRowHeight="14.5"/>
  <cols>
    <col min="1" max="1" width="12.81640625" style="376" customWidth="1"/>
    <col min="2" max="2" width="56" style="376" customWidth="1"/>
    <col min="3" max="3" width="26.26953125" style="376" customWidth="1"/>
    <col min="4" max="4" width="20.7265625" style="376" customWidth="1"/>
    <col min="5" max="5" width="29.453125" style="376" customWidth="1"/>
    <col min="6" max="16384" width="9.1796875" style="376"/>
  </cols>
  <sheetData>
    <row r="1" spans="1:5" ht="26.25" customHeight="1">
      <c r="A1" s="398" t="s">
        <v>665</v>
      </c>
      <c r="B1" s="398"/>
      <c r="C1" s="398"/>
      <c r="D1" s="398"/>
      <c r="E1" s="398"/>
    </row>
    <row r="2" spans="1:5" ht="26.25" customHeight="1">
      <c r="A2" s="399" t="s">
        <v>661</v>
      </c>
      <c r="B2" s="399"/>
      <c r="C2" s="399"/>
      <c r="D2" s="399"/>
      <c r="E2" s="399"/>
    </row>
    <row r="3" spans="1:5" ht="23.25" customHeight="1">
      <c r="A3" s="400" t="s">
        <v>632</v>
      </c>
      <c r="B3" s="400"/>
      <c r="C3" s="400"/>
      <c r="D3" s="400"/>
      <c r="E3" s="400"/>
    </row>
    <row r="4" spans="1:5" ht="240.75" customHeight="1">
      <c r="A4" s="401" t="s">
        <v>666</v>
      </c>
      <c r="B4" s="401"/>
      <c r="C4" s="401"/>
      <c r="D4" s="401"/>
      <c r="E4" s="401"/>
    </row>
    <row r="5" spans="1:5" ht="23.25" customHeight="1">
      <c r="A5" s="400" t="s">
        <v>633</v>
      </c>
      <c r="B5" s="400"/>
      <c r="C5" s="400"/>
      <c r="D5" s="400"/>
      <c r="E5" s="400"/>
    </row>
    <row r="6" spans="1:5" ht="108" customHeight="1">
      <c r="A6" s="408" t="s">
        <v>704</v>
      </c>
      <c r="B6" s="409"/>
      <c r="C6" s="409"/>
      <c r="D6" s="409"/>
      <c r="E6" s="410"/>
    </row>
    <row r="7" spans="1:5" ht="23.25" customHeight="1">
      <c r="A7" s="411" t="s">
        <v>667</v>
      </c>
      <c r="B7" s="411"/>
      <c r="C7" s="411"/>
      <c r="D7" s="411"/>
      <c r="E7" s="411"/>
    </row>
    <row r="8" spans="1:5" ht="125.25" customHeight="1">
      <c r="A8" s="401" t="s">
        <v>703</v>
      </c>
      <c r="B8" s="401"/>
      <c r="C8" s="401"/>
      <c r="D8" s="401"/>
      <c r="E8" s="401"/>
    </row>
    <row r="9" spans="1:5" ht="23.5">
      <c r="A9" s="400" t="s">
        <v>658</v>
      </c>
      <c r="B9" s="400"/>
      <c r="C9" s="400"/>
      <c r="D9" s="400"/>
      <c r="E9" s="400"/>
    </row>
    <row r="10" spans="1:5">
      <c r="A10" s="376" t="s">
        <v>634</v>
      </c>
      <c r="B10" s="376" t="s">
        <v>152</v>
      </c>
    </row>
    <row r="11" spans="1:5" ht="20.25" customHeight="1">
      <c r="A11" s="380"/>
      <c r="B11" s="412" t="s">
        <v>415</v>
      </c>
      <c r="C11" s="413"/>
      <c r="D11" s="413"/>
      <c r="E11" s="414"/>
    </row>
    <row r="12" spans="1:5">
      <c r="A12" s="381"/>
      <c r="B12" s="402" t="s">
        <v>416</v>
      </c>
      <c r="C12" s="402"/>
      <c r="D12" s="402"/>
      <c r="E12" s="402"/>
    </row>
    <row r="13" spans="1:5" s="385" customFormat="1">
      <c r="A13" s="403"/>
      <c r="B13" s="403"/>
      <c r="C13" s="403"/>
      <c r="D13" s="403"/>
      <c r="E13" s="404"/>
    </row>
    <row r="14" spans="1:5" ht="23.5">
      <c r="A14" s="400" t="s">
        <v>659</v>
      </c>
      <c r="B14" s="400"/>
      <c r="C14" s="400"/>
      <c r="D14" s="400"/>
      <c r="E14" s="400"/>
    </row>
    <row r="15" spans="1:5">
      <c r="A15" s="377" t="s">
        <v>630</v>
      </c>
      <c r="B15" s="377" t="s">
        <v>668</v>
      </c>
      <c r="C15" s="377" t="s">
        <v>464</v>
      </c>
      <c r="D15" s="377" t="s">
        <v>638</v>
      </c>
      <c r="E15" s="377" t="s">
        <v>631</v>
      </c>
    </row>
    <row r="16" spans="1:5">
      <c r="A16" s="386" t="s">
        <v>175</v>
      </c>
      <c r="B16" s="386" t="s">
        <v>669</v>
      </c>
      <c r="C16" s="386"/>
      <c r="D16" s="386"/>
      <c r="E16" s="386"/>
    </row>
    <row r="17" spans="1:5" ht="58">
      <c r="A17" s="387" t="s">
        <v>648</v>
      </c>
      <c r="B17" s="378" t="s">
        <v>655</v>
      </c>
      <c r="C17" s="378" t="s">
        <v>700</v>
      </c>
      <c r="D17" s="378" t="s">
        <v>670</v>
      </c>
      <c r="E17" s="378"/>
    </row>
    <row r="18" spans="1:5" ht="72.5">
      <c r="A18" s="387" t="s">
        <v>649</v>
      </c>
      <c r="B18" s="378" t="s">
        <v>635</v>
      </c>
      <c r="C18" s="378" t="s">
        <v>701</v>
      </c>
      <c r="D18" s="378" t="s">
        <v>671</v>
      </c>
      <c r="E18" s="378"/>
    </row>
    <row r="19" spans="1:5" ht="26.25" customHeight="1">
      <c r="A19" s="387" t="s">
        <v>650</v>
      </c>
      <c r="B19" s="379" t="s">
        <v>662</v>
      </c>
      <c r="C19" s="378" t="s">
        <v>672</v>
      </c>
      <c r="D19" s="378" t="s">
        <v>673</v>
      </c>
      <c r="E19" s="378" t="s">
        <v>660</v>
      </c>
    </row>
    <row r="20" spans="1:5" ht="29">
      <c r="A20" s="387" t="s">
        <v>651</v>
      </c>
      <c r="B20" s="378" t="s">
        <v>702</v>
      </c>
      <c r="C20" s="378"/>
      <c r="D20" s="378"/>
      <c r="E20" s="378"/>
    </row>
    <row r="21" spans="1:5">
      <c r="A21" s="378">
        <v>4.0999999999999996</v>
      </c>
      <c r="B21" s="378" t="s">
        <v>642</v>
      </c>
      <c r="C21" s="405" t="s">
        <v>674</v>
      </c>
      <c r="D21" s="378" t="s">
        <v>675</v>
      </c>
      <c r="E21" s="378"/>
    </row>
    <row r="22" spans="1:5">
      <c r="A22" s="378">
        <v>4.2</v>
      </c>
      <c r="B22" s="378" t="s">
        <v>646</v>
      </c>
      <c r="C22" s="406"/>
      <c r="D22" s="378" t="s">
        <v>676</v>
      </c>
      <c r="E22" s="378"/>
    </row>
    <row r="23" spans="1:5">
      <c r="A23" s="378">
        <v>4.3</v>
      </c>
      <c r="B23" s="378" t="s">
        <v>643</v>
      </c>
      <c r="C23" s="406"/>
      <c r="D23" s="378" t="s">
        <v>677</v>
      </c>
      <c r="E23" s="378"/>
    </row>
    <row r="24" spans="1:5">
      <c r="A24" s="378">
        <v>4.4000000000000004</v>
      </c>
      <c r="B24" s="378" t="s">
        <v>644</v>
      </c>
      <c r="C24" s="406"/>
      <c r="D24" s="378" t="s">
        <v>678</v>
      </c>
      <c r="E24" s="378"/>
    </row>
    <row r="25" spans="1:5">
      <c r="A25" s="378">
        <v>4.5</v>
      </c>
      <c r="B25" s="378" t="s">
        <v>645</v>
      </c>
      <c r="C25" s="406"/>
      <c r="D25" s="378" t="s">
        <v>679</v>
      </c>
      <c r="E25" s="378"/>
    </row>
    <row r="26" spans="1:5">
      <c r="A26" s="378">
        <v>4.5999999999999996</v>
      </c>
      <c r="B26" s="378" t="s">
        <v>647</v>
      </c>
      <c r="C26" s="407"/>
      <c r="D26" s="378" t="s">
        <v>680</v>
      </c>
      <c r="E26" s="378"/>
    </row>
    <row r="27" spans="1:5" ht="43.5">
      <c r="A27" s="387" t="s">
        <v>652</v>
      </c>
      <c r="B27" s="378" t="s">
        <v>636</v>
      </c>
      <c r="C27" s="378" t="s">
        <v>681</v>
      </c>
      <c r="D27" s="378" t="s">
        <v>706</v>
      </c>
      <c r="E27" s="378"/>
    </row>
    <row r="28" spans="1:5" ht="58">
      <c r="A28" s="387" t="s">
        <v>653</v>
      </c>
      <c r="B28" s="378" t="s">
        <v>682</v>
      </c>
      <c r="C28" s="378" t="s">
        <v>683</v>
      </c>
      <c r="D28" s="378" t="s">
        <v>684</v>
      </c>
      <c r="E28" s="378"/>
    </row>
    <row r="29" spans="1:5" ht="29">
      <c r="A29" s="387" t="s">
        <v>654</v>
      </c>
      <c r="B29" s="378" t="s">
        <v>637</v>
      </c>
      <c r="C29" s="378" t="s">
        <v>685</v>
      </c>
      <c r="D29" s="378" t="s">
        <v>686</v>
      </c>
      <c r="E29" s="378"/>
    </row>
    <row r="30" spans="1:5">
      <c r="A30" s="386" t="s">
        <v>176</v>
      </c>
      <c r="B30" s="388" t="s">
        <v>687</v>
      </c>
      <c r="C30" s="386"/>
      <c r="D30" s="386"/>
      <c r="E30" s="386"/>
    </row>
    <row r="31" spans="1:5" ht="26.25" customHeight="1">
      <c r="A31" s="389" t="s">
        <v>688</v>
      </c>
      <c r="B31" s="378" t="s">
        <v>639</v>
      </c>
      <c r="C31" s="378"/>
      <c r="D31" s="378" t="s">
        <v>689</v>
      </c>
      <c r="E31" s="378" t="s">
        <v>660</v>
      </c>
    </row>
    <row r="32" spans="1:5">
      <c r="A32" s="389" t="s">
        <v>690</v>
      </c>
      <c r="B32" s="378" t="s">
        <v>640</v>
      </c>
      <c r="C32" s="378"/>
      <c r="D32" s="378" t="s">
        <v>691</v>
      </c>
      <c r="E32" s="378" t="s">
        <v>660</v>
      </c>
    </row>
    <row r="33" spans="1:5">
      <c r="A33" s="389" t="s">
        <v>692</v>
      </c>
      <c r="B33" s="378" t="s">
        <v>641</v>
      </c>
      <c r="C33" s="378"/>
      <c r="D33" s="378" t="s">
        <v>693</v>
      </c>
      <c r="E33" s="378" t="s">
        <v>660</v>
      </c>
    </row>
    <row r="34" spans="1:5" ht="35.25" customHeight="1">
      <c r="A34" s="389" t="s">
        <v>694</v>
      </c>
      <c r="B34" s="378" t="s">
        <v>656</v>
      </c>
      <c r="C34" s="378"/>
      <c r="D34" s="378" t="s">
        <v>695</v>
      </c>
      <c r="E34" s="378" t="s">
        <v>660</v>
      </c>
    </row>
    <row r="35" spans="1:5" ht="35.25" customHeight="1">
      <c r="A35" s="389" t="s">
        <v>696</v>
      </c>
      <c r="B35" s="378" t="s">
        <v>697</v>
      </c>
      <c r="C35" s="378"/>
      <c r="D35" s="378" t="s">
        <v>705</v>
      </c>
      <c r="E35" s="378" t="s">
        <v>660</v>
      </c>
    </row>
    <row r="36" spans="1:5">
      <c r="A36" s="387" t="s">
        <v>698</v>
      </c>
      <c r="B36" s="378" t="s">
        <v>699</v>
      </c>
      <c r="C36" s="378"/>
      <c r="D36" s="378"/>
      <c r="E36" s="378"/>
    </row>
    <row r="37" spans="1:5" ht="21">
      <c r="A37" s="397"/>
      <c r="B37" s="397"/>
      <c r="C37" s="397"/>
      <c r="D37" s="397"/>
      <c r="E37" s="397"/>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16" zoomScale="80" zoomScaleSheetLayoutView="80" workbookViewId="0">
      <selection activeCell="B32" sqref="B32:H51"/>
    </sheetView>
  </sheetViews>
  <sheetFormatPr defaultRowHeight="14.5"/>
  <cols>
    <col min="1" max="1" width="40.54296875" bestFit="1" customWidth="1"/>
    <col min="2" max="5" width="13.453125" bestFit="1" customWidth="1"/>
    <col min="6" max="8" width="13.1796875" bestFit="1" customWidth="1"/>
    <col min="9" max="9" width="8.54296875" customWidth="1"/>
    <col min="10" max="10" width="10.1796875" bestFit="1" customWidth="1"/>
    <col min="11" max="11" width="9.54296875" bestFit="1" customWidth="1"/>
  </cols>
  <sheetData>
    <row r="2" spans="1:8" ht="17.5">
      <c r="A2" s="417" t="s">
        <v>578</v>
      </c>
      <c r="B2" s="417"/>
      <c r="C2" s="417"/>
      <c r="D2" s="417"/>
      <c r="E2" s="417"/>
      <c r="F2" s="417"/>
      <c r="G2" s="417"/>
      <c r="H2" s="417"/>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521</v>
      </c>
      <c r="B8" s="96">
        <f>'12.Facility 1 - Trading'!D229</f>
        <v>8.7451500000000001E-2</v>
      </c>
      <c r="C8" s="96">
        <f>'12.Facility 1 - Trading'!E229</f>
        <v>9.594900000000002E-2</v>
      </c>
      <c r="D8" s="96">
        <f>'12.Facility 1 - Trading'!F229</f>
        <v>0.10074645000000002</v>
      </c>
      <c r="E8" s="96">
        <f>'12.Facility 1 - Trading'!G229</f>
        <v>0.10578377250000004</v>
      </c>
      <c r="F8" s="96">
        <f>'12.Facility 1 - Trading'!H229</f>
        <v>0.11107296112500004</v>
      </c>
      <c r="G8" s="96">
        <f>'12.Facility 1 - Trading'!I229</f>
        <v>0.11662660918125006</v>
      </c>
      <c r="H8" s="96">
        <f>'12.Facility 1 - Trading'!J229</f>
        <v>0.12245793964031255</v>
      </c>
    </row>
    <row r="9" spans="1:8">
      <c r="A9" s="95" t="s">
        <v>522</v>
      </c>
      <c r="B9" s="96">
        <f>'13.Facility 2 Grain Processing'!D148</f>
        <v>0.25286399999999998</v>
      </c>
      <c r="C9" s="96">
        <f>'13.Facility 2 Grain Processing'!E148</f>
        <v>0.27027000000000001</v>
      </c>
      <c r="D9" s="96">
        <f>'13.Facility 2 Grain Processing'!F148</f>
        <v>0.28378350000000002</v>
      </c>
      <c r="E9" s="96">
        <f>'13.Facility 2 Grain Processing'!G148</f>
        <v>0.29797267500000002</v>
      </c>
      <c r="F9" s="96">
        <f>'13.Facility 2 Grain Processing'!H148</f>
        <v>0.31287130875000002</v>
      </c>
      <c r="G9" s="96">
        <f>'13.Facility 2 Grain Processing'!I148</f>
        <v>0.32851487418750008</v>
      </c>
      <c r="H9" s="96">
        <f>'13.Facility 2 Grain Processing'!J148</f>
        <v>0.34494061789687513</v>
      </c>
    </row>
    <row r="10" spans="1:8">
      <c r="A10" s="95" t="s">
        <v>523</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524</v>
      </c>
      <c r="B11" s="96">
        <f>'15. Facility 4 Custom Hiring'!E39</f>
        <v>6451500</v>
      </c>
      <c r="C11" s="96">
        <f>'15. Facility 4 Custom Hiring'!F39</f>
        <v>6774075</v>
      </c>
      <c r="D11" s="96">
        <f>'15. Facility 4 Custom Hiring'!G39</f>
        <v>7112778.75</v>
      </c>
      <c r="E11" s="96">
        <f>'15. Facility 4 Custom Hiring'!H39</f>
        <v>7468417.6875000009</v>
      </c>
      <c r="F11" s="96">
        <f>'15. Facility 4 Custom Hiring'!I39</f>
        <v>7841838.5718750032</v>
      </c>
      <c r="G11" s="96">
        <f>'15. Facility 4 Custom Hiring'!J39</f>
        <v>8233930.5004687533</v>
      </c>
      <c r="H11" s="96">
        <f>'15. Facility 4 Custom Hiring'!K39</f>
        <v>8645627.0254921895</v>
      </c>
    </row>
    <row r="12" spans="1:8">
      <c r="A12" s="95" t="s">
        <v>520</v>
      </c>
      <c r="B12" s="96">
        <f>'16.Facility 5 Agri Input'!D191</f>
        <v>231804750</v>
      </c>
      <c r="C12" s="96">
        <f>'16.Facility 5 Agri Input'!E191</f>
        <v>268374999.375</v>
      </c>
      <c r="D12" s="96">
        <f>'16.Facility 5 Agri Input'!F191</f>
        <v>295244524.96875</v>
      </c>
      <c r="E12" s="96">
        <f>'16.Facility 5 Agri Input'!G191</f>
        <v>324130065.62343752</v>
      </c>
      <c r="F12" s="96">
        <f>'16.Facility 5 Agri Input'!H191</f>
        <v>355166049.03117192</v>
      </c>
      <c r="G12" s="96">
        <f>'16.Facility 5 Agri Input'!I191</f>
        <v>388495305.61562121</v>
      </c>
      <c r="H12" s="96">
        <f>'16.Facility 5 Agri Input'!J191</f>
        <v>424269572.73593748</v>
      </c>
    </row>
    <row r="13" spans="1:8">
      <c r="A13" s="95" t="s">
        <v>545</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238256250.34031549</v>
      </c>
      <c r="C15" s="115">
        <f t="shared" ref="C15:H15" si="0">SUM(C8:C14)</f>
        <v>275149074.74121898</v>
      </c>
      <c r="D15" s="115">
        <f t="shared" si="0"/>
        <v>302357304.10327995</v>
      </c>
      <c r="E15" s="115">
        <f t="shared" si="0"/>
        <v>331598483.71469396</v>
      </c>
      <c r="F15" s="115">
        <f t="shared" si="0"/>
        <v>363007888.02699119</v>
      </c>
      <c r="G15" s="115">
        <f t="shared" si="0"/>
        <v>396729236.56123143</v>
      </c>
      <c r="H15" s="115">
        <f t="shared" si="0"/>
        <v>432915200.22882825</v>
      </c>
    </row>
    <row r="16" spans="1:8">
      <c r="A16" s="95"/>
      <c r="B16" s="96"/>
      <c r="C16" s="96"/>
      <c r="D16" s="96"/>
      <c r="E16" s="96"/>
      <c r="F16" s="96"/>
      <c r="G16" s="96"/>
      <c r="H16" s="96"/>
    </row>
    <row r="17" spans="1:8">
      <c r="A17" s="97" t="s">
        <v>316</v>
      </c>
      <c r="B17" s="96"/>
      <c r="C17" s="96"/>
      <c r="D17" s="96"/>
      <c r="E17" s="96"/>
      <c r="F17" s="96"/>
      <c r="G17" s="96"/>
      <c r="H17" s="96"/>
    </row>
    <row r="18" spans="1:8">
      <c r="A18" s="95" t="str">
        <f t="shared" ref="A18:A23" si="1">A8</f>
        <v>Faclitiy 1 - Cleaning &amp; Grading</v>
      </c>
      <c r="B18" s="96">
        <f>'12.Facility 1 - Trading'!D292</f>
        <v>9.2973631500000015E-2</v>
      </c>
      <c r="C18" s="96">
        <f>'12.Facility 1 - Trading'!E292</f>
        <v>0.10212327157500001</v>
      </c>
      <c r="D18" s="96">
        <f>'12.Facility 1 - Trading'!F292</f>
        <v>0.10722943515375</v>
      </c>
      <c r="E18" s="96">
        <f>'12.Facility 1 - Trading'!G292</f>
        <v>0.11259090691143754</v>
      </c>
      <c r="F18" s="96">
        <f>'12.Facility 1 - Trading'!H292</f>
        <v>0.11822045225700942</v>
      </c>
      <c r="G18" s="96">
        <f>'12.Facility 1 - Trading'!I292</f>
        <v>0.12413147486985988</v>
      </c>
      <c r="H18" s="96">
        <f>'12.Facility 1 - Trading'!J292</f>
        <v>0.13033804861335288</v>
      </c>
    </row>
    <row r="19" spans="1:8">
      <c r="A19" s="95" t="str">
        <f t="shared" si="1"/>
        <v>Faclitiy 2 - Processing Unit- Dal Mill</v>
      </c>
      <c r="B19" s="96">
        <f>'13.Facility 2 Grain Processing'!D169</f>
        <v>9.4298017500000011E-2</v>
      </c>
      <c r="C19" s="96">
        <f>'13.Facility 2 Grain Processing'!E169</f>
        <v>0.10383955087500002</v>
      </c>
      <c r="D19" s="96">
        <f>'13.Facility 2 Grain Processing'!F169</f>
        <v>0.10903152841875002</v>
      </c>
      <c r="E19" s="96">
        <f>'13.Facility 2 Grain Processing'!G169</f>
        <v>0.1144831048396875</v>
      </c>
      <c r="F19" s="96">
        <f>'13.Facility 2 Grain Processing'!H169</f>
        <v>0.12020726008167192</v>
      </c>
      <c r="G19" s="96">
        <f>'13.Facility 2 Grain Processing'!I169</f>
        <v>0.12621762308575551</v>
      </c>
      <c r="H19" s="96">
        <f>'13.Facility 2 Grain Processing'!J169</f>
        <v>0.13252850424004334</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Hiring'!E49</f>
        <v>1835400</v>
      </c>
      <c r="C21" s="96">
        <f>'15. Facility 4 Custom Hiring'!F49</f>
        <v>1927170</v>
      </c>
      <c r="D21" s="96">
        <f>'15. Facility 4 Custom Hiring'!G49</f>
        <v>2023528.5</v>
      </c>
      <c r="E21" s="96">
        <f>'15. Facility 4 Custom Hiring'!H49</f>
        <v>2124704.9250000003</v>
      </c>
      <c r="F21" s="96">
        <f>'15. Facility 4 Custom Hiring'!I49</f>
        <v>2230940.1712500006</v>
      </c>
      <c r="G21" s="96">
        <f>'15. Facility 4 Custom Hiring'!J49</f>
        <v>2342487.1798125007</v>
      </c>
      <c r="H21" s="96">
        <f>'15. Facility 4 Custom Hiring'!K49</f>
        <v>2459611.5388031257</v>
      </c>
    </row>
    <row r="22" spans="1:8">
      <c r="A22" s="95" t="str">
        <f t="shared" si="1"/>
        <v>Faclitiy 5 - Agri Input Centre</v>
      </c>
      <c r="B22" s="96">
        <f>'16.Facility 5 Agri Input'!D262</f>
        <v>226689060</v>
      </c>
      <c r="C22" s="96">
        <f>'16.Facility 5 Agri Input'!E262</f>
        <v>260643688.64999998</v>
      </c>
      <c r="D22" s="96">
        <f>'16.Facility 5 Agri Input'!F262</f>
        <v>286734855.01499999</v>
      </c>
      <c r="E22" s="96">
        <f>'16.Facility 5 Agri Input'!G262</f>
        <v>314783528.79487509</v>
      </c>
      <c r="F22" s="96">
        <f>'16.Facility 5 Agri Input'!H262</f>
        <v>344920232.81520003</v>
      </c>
      <c r="G22" s="96">
        <f>'16.Facility 5 Agri Input'!I262</f>
        <v>377283648.4155705</v>
      </c>
      <c r="H22" s="96">
        <f>'16.Facility 5 Agri Input'!J262</f>
        <v>412021104.99393976</v>
      </c>
    </row>
    <row r="23" spans="1:8">
      <c r="A23" s="95" t="str">
        <f t="shared" si="1"/>
        <v>Facility 6 - Processing Unit - Horti Commodity</v>
      </c>
      <c r="B23" s="96">
        <f>'17.Facility 6 Horti Processing '!D177</f>
        <v>-4.8266325000000006E-3</v>
      </c>
      <c r="C23" s="96">
        <f>'17.Facility 6 Horti Processing '!E177</f>
        <v>-2.4133162500000055E-4</v>
      </c>
      <c r="D23" s="96">
        <f>'17.Facility 6 Horti Processing '!F177</f>
        <v>-2.5339820624999988E-4</v>
      </c>
      <c r="E23" s="96">
        <f>'17.Facility 6 Horti Processing '!G177</f>
        <v>-2.6606811656249962E-4</v>
      </c>
      <c r="F23" s="96">
        <f>'17.Facility 6 Horti Processing '!H177</f>
        <v>-2.793715223906269E-4</v>
      </c>
      <c r="G23" s="96">
        <f>'17.Facility 6 Horti Processing '!I177</f>
        <v>-2.9334009851015707E-4</v>
      </c>
      <c r="H23" s="96">
        <f>'17.Facility 6 Horti Processing '!J177</f>
        <v>-3.0800710343566445E-4</v>
      </c>
    </row>
    <row r="24" spans="1:8">
      <c r="A24" s="95"/>
      <c r="B24" s="96"/>
      <c r="C24" s="96"/>
      <c r="D24" s="96"/>
      <c r="E24" s="96"/>
      <c r="F24" s="96"/>
      <c r="G24" s="96"/>
      <c r="H24" s="96"/>
    </row>
    <row r="25" spans="1:8">
      <c r="A25" s="97" t="s">
        <v>327</v>
      </c>
      <c r="B25" s="115">
        <f>SUM(B18:B24)</f>
        <v>228524460.18244502</v>
      </c>
      <c r="C25" s="115">
        <f t="shared" ref="C25:H25" si="2">SUM(C18:C24)</f>
        <v>262570858.85572147</v>
      </c>
      <c r="D25" s="115">
        <f t="shared" si="2"/>
        <v>288758383.73100758</v>
      </c>
      <c r="E25" s="115">
        <f t="shared" si="2"/>
        <v>316908233.94668305</v>
      </c>
      <c r="F25" s="115">
        <f t="shared" si="2"/>
        <v>347151173.22459835</v>
      </c>
      <c r="G25" s="115">
        <f t="shared" si="2"/>
        <v>379626135.84543878</v>
      </c>
      <c r="H25" s="115">
        <f t="shared" si="2"/>
        <v>414480716.79530138</v>
      </c>
    </row>
    <row r="26" spans="1:8">
      <c r="A26" s="95"/>
      <c r="B26" s="96"/>
      <c r="C26" s="96"/>
      <c r="D26" s="96"/>
      <c r="E26" s="96"/>
      <c r="F26" s="96"/>
      <c r="G26" s="96"/>
      <c r="H26" s="96"/>
    </row>
    <row r="27" spans="1:8">
      <c r="A27" s="97" t="s">
        <v>314</v>
      </c>
      <c r="B27" s="96"/>
      <c r="C27" s="96"/>
      <c r="D27" s="96"/>
      <c r="E27" s="96"/>
      <c r="F27" s="96"/>
      <c r="G27" s="96"/>
      <c r="H27" s="96"/>
    </row>
    <row r="28" spans="1:8">
      <c r="A28" s="95" t="str">
        <f t="shared" ref="A28:A33" si="3">A18</f>
        <v>Faclitiy 1 - Cleaning &amp; Grading</v>
      </c>
      <c r="B28" s="96">
        <f>'12.Facility 1 - Trading'!D301</f>
        <v>0</v>
      </c>
      <c r="C28" s="96">
        <f>'12.Facility 1 - Trading'!E301</f>
        <v>0</v>
      </c>
      <c r="D28" s="96">
        <f>'12.Facility 1 - Trading'!F301</f>
        <v>0</v>
      </c>
      <c r="E28" s="96">
        <f>'12.Facility 1 - Trading'!G301</f>
        <v>0</v>
      </c>
      <c r="F28" s="96">
        <f>'12.Facility 1 - Trading'!H301</f>
        <v>0</v>
      </c>
      <c r="G28" s="96">
        <f>'12.Facility 1 - Trading'!I301</f>
        <v>0</v>
      </c>
      <c r="H28" s="96">
        <f>'12.Facility 1 - Trading'!J301</f>
        <v>0</v>
      </c>
    </row>
    <row r="29" spans="1:8">
      <c r="A29" s="95" t="str">
        <f t="shared" si="3"/>
        <v>Faclitiy 2 - Processing Unit- Dal Mill</v>
      </c>
      <c r="B29" s="96">
        <f>'13.Facility 2 Grain Processing'!D177</f>
        <v>0</v>
      </c>
      <c r="C29" s="96">
        <f>'13.Facility 2 Grain Processing'!E177</f>
        <v>0</v>
      </c>
      <c r="D29" s="96">
        <f>'13.Facility 2 Grain Processing'!F177</f>
        <v>0</v>
      </c>
      <c r="E29" s="96">
        <f>'13.Facility 2 Grain Processing'!G177</f>
        <v>0</v>
      </c>
      <c r="F29" s="96">
        <f>'13.Facility 2 Grain Processing'!H177</f>
        <v>0</v>
      </c>
      <c r="G29" s="96">
        <f>'13.Facility 2 Grain Processing'!I177</f>
        <v>0</v>
      </c>
      <c r="H29" s="96">
        <f>'13.Facility 2 Grain Processing'!J177</f>
        <v>0</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8">
      <c r="A32" s="95" t="str">
        <f t="shared" si="3"/>
        <v>Faclitiy 5 - Agri Input Centre</v>
      </c>
      <c r="B32" s="96">
        <f>'16.Facility 5 Agri Input'!D273</f>
        <v>960000</v>
      </c>
      <c r="C32" s="96">
        <f>'16.Facility 5 Agri Input'!E273</f>
        <v>1008000</v>
      </c>
      <c r="D32" s="96">
        <f>'16.Facility 5 Agri Input'!F273</f>
        <v>1058400</v>
      </c>
      <c r="E32" s="96">
        <f>'16.Facility 5 Agri Input'!G273</f>
        <v>1111320.0000000002</v>
      </c>
      <c r="F32" s="96">
        <f>'16.Facility 5 Agri Input'!H273</f>
        <v>1166886.0000000002</v>
      </c>
      <c r="G32" s="96">
        <f>'16.Facility 5 Agri Input'!I273</f>
        <v>1225230.3000000003</v>
      </c>
      <c r="H32" s="96">
        <f>'16.Facility 5 Agri Input'!J273</f>
        <v>1286491.8150000004</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2861000</v>
      </c>
      <c r="C35" s="96">
        <f>'3.Other Exp &amp; Taxes'!F23</f>
        <v>3004050</v>
      </c>
      <c r="D35" s="96">
        <f>'3.Other Exp &amp; Taxes'!G23</f>
        <v>3154252.5</v>
      </c>
      <c r="E35" s="96">
        <f>'3.Other Exp &amp; Taxes'!H23</f>
        <v>3311965.1250000005</v>
      </c>
      <c r="F35" s="96">
        <f>'3.Other Exp &amp; Taxes'!I23</f>
        <v>3477563.3812500006</v>
      </c>
      <c r="G35" s="96">
        <f>'3.Other Exp &amp; Taxes'!J23</f>
        <v>3651441.5503125009</v>
      </c>
      <c r="H35" s="96">
        <f>'3.Other Exp &amp; Taxes'!K23</f>
        <v>3834013.6278281263</v>
      </c>
    </row>
    <row r="36" spans="1:10">
      <c r="A36" s="97" t="s">
        <v>331</v>
      </c>
      <c r="B36" s="115">
        <f t="shared" ref="B36:H36" si="4">SUM(B28:B35)</f>
        <v>3821000</v>
      </c>
      <c r="C36" s="115">
        <f t="shared" si="4"/>
        <v>4012050</v>
      </c>
      <c r="D36" s="115">
        <f t="shared" si="4"/>
        <v>4212652.5</v>
      </c>
      <c r="E36" s="115">
        <f t="shared" si="4"/>
        <v>4423285.1250000009</v>
      </c>
      <c r="F36" s="115">
        <f t="shared" si="4"/>
        <v>4644449.3812500006</v>
      </c>
      <c r="G36" s="115">
        <f t="shared" si="4"/>
        <v>4876671.8503125012</v>
      </c>
      <c r="H36" s="115">
        <f t="shared" si="4"/>
        <v>5120505.4428281263</v>
      </c>
    </row>
    <row r="37" spans="1:10">
      <c r="A37" s="95"/>
      <c r="B37" s="96"/>
      <c r="C37" s="96"/>
      <c r="D37" s="96"/>
      <c r="E37" s="96"/>
      <c r="F37" s="96"/>
      <c r="G37" s="96"/>
      <c r="H37" s="96"/>
    </row>
    <row r="38" spans="1:10">
      <c r="A38" s="97" t="s">
        <v>336</v>
      </c>
      <c r="B38" s="115">
        <f t="shared" ref="B38:H38" si="5">B25+B36</f>
        <v>232345460.18244502</v>
      </c>
      <c r="C38" s="115">
        <f t="shared" si="5"/>
        <v>266582908.85572147</v>
      </c>
      <c r="D38" s="115">
        <f t="shared" si="5"/>
        <v>292971036.23100758</v>
      </c>
      <c r="E38" s="115">
        <f t="shared" si="5"/>
        <v>321331519.07168305</v>
      </c>
      <c r="F38" s="115">
        <f t="shared" si="5"/>
        <v>351795622.60584837</v>
      </c>
      <c r="G38" s="115">
        <f t="shared" si="5"/>
        <v>384502807.69575131</v>
      </c>
      <c r="H38" s="115">
        <f t="shared" si="5"/>
        <v>419601222.2381295</v>
      </c>
    </row>
    <row r="39" spans="1:10">
      <c r="A39" s="95"/>
      <c r="B39" s="96"/>
      <c r="C39" s="96"/>
      <c r="D39" s="96"/>
      <c r="E39" s="96"/>
      <c r="F39" s="96"/>
      <c r="G39" s="96"/>
      <c r="H39" s="96"/>
    </row>
    <row r="40" spans="1:10">
      <c r="A40" s="97" t="s">
        <v>137</v>
      </c>
      <c r="B40" s="115">
        <f t="shared" ref="B40:H40" si="6">B15-B38</f>
        <v>5910790.1578704715</v>
      </c>
      <c r="C40" s="115">
        <f t="shared" si="6"/>
        <v>8566165.8854975104</v>
      </c>
      <c r="D40" s="115">
        <f t="shared" si="6"/>
        <v>9386267.8722723722</v>
      </c>
      <c r="E40" s="115">
        <f t="shared" si="6"/>
        <v>10266964.643010914</v>
      </c>
      <c r="F40" s="115">
        <f t="shared" si="6"/>
        <v>11212265.421142817</v>
      </c>
      <c r="G40" s="115">
        <f t="shared" si="6"/>
        <v>12226428.865480125</v>
      </c>
      <c r="H40" s="115">
        <f t="shared" si="6"/>
        <v>13313977.990698755</v>
      </c>
      <c r="J40" s="67">
        <f>B49+B42+B43</f>
        <v>4518046.0049382299</v>
      </c>
    </row>
    <row r="41" spans="1:10">
      <c r="A41" s="95"/>
      <c r="B41" s="96"/>
      <c r="C41" s="96"/>
      <c r="D41" s="96"/>
      <c r="E41" s="96"/>
      <c r="F41" s="96"/>
      <c r="G41" s="96"/>
      <c r="H41" s="96"/>
      <c r="J41">
        <f>'5.Closing Stock &amp; W Capital'!E56</f>
        <v>3868733.7581451181</v>
      </c>
    </row>
    <row r="42" spans="1:10">
      <c r="A42" s="99" t="s">
        <v>17</v>
      </c>
      <c r="B42" s="96">
        <f>'3.Other Exp &amp; Taxes'!C66</f>
        <v>1138062.018993</v>
      </c>
      <c r="C42" s="96">
        <f>'3.Other Exp &amp; Taxes'!D66</f>
        <v>1138062.018993</v>
      </c>
      <c r="D42" s="96">
        <f>'3.Other Exp &amp; Taxes'!E66</f>
        <v>1138062.018993</v>
      </c>
      <c r="E42" s="96">
        <f>'3.Other Exp &amp; Taxes'!F66</f>
        <v>1138062.018993</v>
      </c>
      <c r="F42" s="96">
        <f>'3.Other Exp &amp; Taxes'!G66</f>
        <v>1138062.018993</v>
      </c>
      <c r="G42" s="96">
        <f>'3.Other Exp &amp; Taxes'!H66</f>
        <v>1138062.018993</v>
      </c>
      <c r="H42" s="96">
        <f>'3.Other Exp &amp; Taxes'!I66</f>
        <v>1138062.018993</v>
      </c>
      <c r="J42" s="67">
        <f>J40+J41</f>
        <v>8386779.7630833481</v>
      </c>
    </row>
    <row r="43" spans="1:10">
      <c r="A43" s="99" t="s">
        <v>138</v>
      </c>
      <c r="B43" s="96">
        <f>'3.Other Exp &amp; Taxes'!C86</f>
        <v>175000</v>
      </c>
      <c r="C43" s="96">
        <f>'3.Other Exp &amp; Taxes'!D86</f>
        <v>175000</v>
      </c>
      <c r="D43" s="96">
        <f>'3.Other Exp &amp; Taxes'!E86</f>
        <v>175000</v>
      </c>
      <c r="E43" s="96">
        <f>'3.Other Exp &amp; Taxes'!F86</f>
        <v>175000</v>
      </c>
      <c r="F43" s="96">
        <f>'3.Other Exp &amp; Taxes'!G86</f>
        <v>175000</v>
      </c>
      <c r="G43" s="96">
        <f>'3.Other Exp &amp; Taxes'!H86</f>
        <v>0</v>
      </c>
      <c r="H43" s="96">
        <f>'3.Other Exp &amp; Taxes'!I86</f>
        <v>0</v>
      </c>
    </row>
    <row r="44" spans="1:10">
      <c r="A44" s="95"/>
      <c r="B44" s="96"/>
      <c r="C44" s="96"/>
      <c r="D44" s="96"/>
      <c r="E44" s="96"/>
      <c r="F44" s="96"/>
      <c r="G44" s="96"/>
      <c r="H44" s="96"/>
    </row>
    <row r="45" spans="1:10">
      <c r="A45" s="97" t="s">
        <v>139</v>
      </c>
      <c r="B45" s="115">
        <f>B40-B42-B43</f>
        <v>4597728.1388774719</v>
      </c>
      <c r="C45" s="115">
        <f t="shared" ref="C45:H45" si="7">C40-C42-C43</f>
        <v>7253103.8665045109</v>
      </c>
      <c r="D45" s="115">
        <f t="shared" si="7"/>
        <v>8073205.8532793727</v>
      </c>
      <c r="E45" s="115">
        <f t="shared" si="7"/>
        <v>8953902.6240179148</v>
      </c>
      <c r="F45" s="115">
        <f t="shared" si="7"/>
        <v>9899203.402149817</v>
      </c>
      <c r="G45" s="115">
        <f t="shared" si="7"/>
        <v>11088366.846487125</v>
      </c>
      <c r="H45" s="115">
        <f t="shared" si="7"/>
        <v>12175915.971705755</v>
      </c>
    </row>
    <row r="46" spans="1:10">
      <c r="A46" s="95"/>
      <c r="B46" s="96"/>
      <c r="C46" s="96"/>
      <c r="D46" s="96"/>
      <c r="E46" s="96"/>
      <c r="F46" s="96"/>
      <c r="G46" s="96"/>
      <c r="H46" s="96"/>
    </row>
    <row r="47" spans="1:10">
      <c r="A47" s="95" t="s">
        <v>24</v>
      </c>
      <c r="B47" s="96">
        <f>'8.Cash Flow '!C26+'8.Cash Flow '!C28</f>
        <v>1392744.1529322425</v>
      </c>
      <c r="C47" s="96">
        <f>'8.Cash Flow '!D26+'8.Cash Flow '!D28</f>
        <v>2080290.6165901856</v>
      </c>
      <c r="D47" s="96">
        <f>'8.Cash Flow '!E26+'8.Cash Flow '!E28</f>
        <v>2287068.2042736672</v>
      </c>
      <c r="E47" s="96">
        <f>'8.Cash Flow '!F26+'8.Cash Flow '!F28</f>
        <v>2509322.8241840224</v>
      </c>
      <c r="F47" s="96">
        <f>'8.Cash Flow '!G26+'8.Cash Flow '!G28</f>
        <v>2748085.2355747288</v>
      </c>
      <c r="G47" s="96">
        <f>'8.Cash Flow '!H26+'8.Cash Flow '!H28</f>
        <v>3004450.5810440457</v>
      </c>
      <c r="H47" s="96">
        <f>'8.Cash Flow '!I26+'8.Cash Flow '!I28</f>
        <v>3279582.2479713578</v>
      </c>
    </row>
    <row r="48" spans="1:10">
      <c r="A48" s="95"/>
      <c r="B48" s="96"/>
      <c r="C48" s="96"/>
      <c r="D48" s="96"/>
      <c r="E48" s="96"/>
      <c r="F48" s="96"/>
      <c r="G48" s="96"/>
      <c r="H48" s="96"/>
    </row>
    <row r="49" spans="1:9">
      <c r="A49" s="95" t="s">
        <v>25</v>
      </c>
      <c r="B49" s="96">
        <f>B45-B47</f>
        <v>3204983.9859452294</v>
      </c>
      <c r="C49" s="96">
        <f t="shared" ref="C49:H49" si="8">C45-C47</f>
        <v>5172813.2499143258</v>
      </c>
      <c r="D49" s="96">
        <f t="shared" si="8"/>
        <v>5786137.6490057055</v>
      </c>
      <c r="E49" s="96">
        <f t="shared" si="8"/>
        <v>6444579.7998338919</v>
      </c>
      <c r="F49" s="96">
        <f t="shared" si="8"/>
        <v>7151118.1665750882</v>
      </c>
      <c r="G49" s="96">
        <f t="shared" si="8"/>
        <v>8083916.2654430792</v>
      </c>
      <c r="H49" s="96">
        <f t="shared" si="8"/>
        <v>8896333.7237343974</v>
      </c>
    </row>
    <row r="50" spans="1:9">
      <c r="A50" s="95" t="s">
        <v>26</v>
      </c>
      <c r="B50" s="96">
        <f>'3.Other Exp &amp; Taxes'!B99</f>
        <v>298096.25974393979</v>
      </c>
      <c r="C50" s="96">
        <f>'3.Other Exp &amp; Taxes'!C99</f>
        <v>913422.87342990458</v>
      </c>
      <c r="D50" s="96">
        <f>'3.Other Exp &amp; Taxes'!D99</f>
        <v>1160095.5065072633</v>
      </c>
      <c r="E50" s="96">
        <f>'3.Other Exp &amp; Taxes'!E99</f>
        <v>1405791.9131550817</v>
      </c>
      <c r="F50" s="96">
        <f>'3.Other Exp &amp; Taxes'!F99</f>
        <v>1653881.4161897465</v>
      </c>
      <c r="G50" s="96">
        <f>'3.Other Exp &amp; Taxes'!G99</f>
        <v>1952532.7896529878</v>
      </c>
      <c r="H50" s="96">
        <f>'3.Other Exp &amp; Taxes'!H99</f>
        <v>2212981.5896677729</v>
      </c>
    </row>
    <row r="51" spans="1:9">
      <c r="A51" s="97" t="s">
        <v>28</v>
      </c>
      <c r="B51" s="96">
        <f>B49-B50</f>
        <v>2906887.7262012898</v>
      </c>
      <c r="C51" s="96">
        <f>C49-C50</f>
        <v>4259390.3764844211</v>
      </c>
      <c r="D51" s="96">
        <f>D49-D50</f>
        <v>4626042.142498442</v>
      </c>
      <c r="E51" s="96">
        <f>E49-E50</f>
        <v>5038787.8866788102</v>
      </c>
      <c r="F51" s="96">
        <f>F49-F50</f>
        <v>5497236.7503853422</v>
      </c>
      <c r="G51" s="96">
        <f t="shared" ref="G51:H51" si="9">G49-G50</f>
        <v>6131383.4757900909</v>
      </c>
      <c r="H51" s="96">
        <f t="shared" si="9"/>
        <v>6683352.1340666246</v>
      </c>
    </row>
    <row r="52" spans="1:9">
      <c r="A52" s="94"/>
      <c r="B52" s="112"/>
      <c r="C52" s="112"/>
      <c r="D52" s="112"/>
      <c r="E52" s="112"/>
      <c r="F52" s="112"/>
      <c r="G52" s="112"/>
      <c r="H52" s="112"/>
    </row>
    <row r="53" spans="1:9">
      <c r="A53" s="94" t="s">
        <v>525</v>
      </c>
      <c r="B53" s="112">
        <f>B51</f>
        <v>2906887.7262012898</v>
      </c>
      <c r="C53" s="112">
        <f t="shared" ref="C53:H53" si="10">B53+C51</f>
        <v>7166278.1026857104</v>
      </c>
      <c r="D53" s="112">
        <f t="shared" si="10"/>
        <v>11792320.245184153</v>
      </c>
      <c r="E53" s="112">
        <f t="shared" si="10"/>
        <v>16831108.131862964</v>
      </c>
      <c r="F53" s="112">
        <f t="shared" si="10"/>
        <v>22328344.882248305</v>
      </c>
      <c r="G53" s="112">
        <f t="shared" si="10"/>
        <v>28459728.358038396</v>
      </c>
      <c r="H53" s="112">
        <f t="shared" si="10"/>
        <v>35143080.492105022</v>
      </c>
    </row>
    <row r="56" spans="1:9" ht="32.5" customHeight="1">
      <c r="A56" s="460" t="s">
        <v>419</v>
      </c>
      <c r="B56" s="460"/>
      <c r="C56" s="460"/>
      <c r="D56" s="460"/>
      <c r="E56" s="460"/>
      <c r="F56" s="460"/>
      <c r="G56" s="460"/>
      <c r="H56" s="460"/>
      <c r="I56" s="460"/>
    </row>
    <row r="58" spans="1:9">
      <c r="A58" s="291"/>
    </row>
  </sheetData>
  <mergeCells count="2">
    <mergeCell ref="A2:H2"/>
    <mergeCell ref="A56:I56"/>
  </mergeCells>
  <pageMargins left="0.7" right="0.7" top="0.75" bottom="0.75" header="0.3" footer="0.3"/>
  <pageSetup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10" zoomScale="80" zoomScaleSheetLayoutView="80" workbookViewId="0">
      <selection activeCell="A2" sqref="A2:H43"/>
    </sheetView>
  </sheetViews>
  <sheetFormatPr defaultRowHeight="14.5"/>
  <cols>
    <col min="1" max="1" width="37.26953125" style="53" customWidth="1"/>
    <col min="2" max="2" width="18.453125" style="53" bestFit="1" customWidth="1"/>
    <col min="3" max="3" width="12.453125" style="53" bestFit="1" customWidth="1"/>
    <col min="4" max="6" width="13.54296875" style="53" bestFit="1" customWidth="1"/>
    <col min="7" max="8" width="12.453125" style="53" bestFit="1" customWidth="1"/>
    <col min="9" max="9" width="9.1796875" style="53"/>
    <col min="10" max="10" width="32.81640625" style="53" bestFit="1" customWidth="1"/>
    <col min="11" max="16" width="8.7265625" style="53" bestFit="1"/>
    <col min="17" max="17" width="10.1796875" style="53" bestFit="1" customWidth="1"/>
    <col min="18" max="256" width="9.1796875" style="53"/>
    <col min="257" max="257" width="37.26953125" style="53" customWidth="1"/>
    <col min="258" max="258" width="18.453125" style="53" bestFit="1" customWidth="1"/>
    <col min="259" max="262" width="12.453125" style="53" bestFit="1" customWidth="1"/>
    <col min="263" max="263" width="11.7265625" style="53" bestFit="1" customWidth="1"/>
    <col min="264" max="512" width="9.1796875" style="53"/>
    <col min="513" max="513" width="37.26953125" style="53" customWidth="1"/>
    <col min="514" max="514" width="18.453125" style="53" bestFit="1" customWidth="1"/>
    <col min="515" max="518" width="12.453125" style="53" bestFit="1" customWidth="1"/>
    <col min="519" max="519" width="11.7265625" style="53" bestFit="1" customWidth="1"/>
    <col min="520" max="768" width="9.1796875" style="53"/>
    <col min="769" max="769" width="37.26953125" style="53" customWidth="1"/>
    <col min="770" max="770" width="18.453125" style="53" bestFit="1" customWidth="1"/>
    <col min="771" max="774" width="12.453125" style="53" bestFit="1" customWidth="1"/>
    <col min="775" max="775" width="11.7265625" style="53" bestFit="1" customWidth="1"/>
    <col min="776" max="1024" width="9.1796875" style="53"/>
    <col min="1025" max="1025" width="37.26953125" style="53" customWidth="1"/>
    <col min="1026" max="1026" width="18.453125" style="53" bestFit="1" customWidth="1"/>
    <col min="1027" max="1030" width="12.453125" style="53" bestFit="1" customWidth="1"/>
    <col min="1031" max="1031" width="11.7265625" style="53" bestFit="1" customWidth="1"/>
    <col min="1032" max="1280" width="9.1796875" style="53"/>
    <col min="1281" max="1281" width="37.26953125" style="53" customWidth="1"/>
    <col min="1282" max="1282" width="18.453125" style="53" bestFit="1" customWidth="1"/>
    <col min="1283" max="1286" width="12.453125" style="53" bestFit="1" customWidth="1"/>
    <col min="1287" max="1287" width="11.7265625" style="53" bestFit="1" customWidth="1"/>
    <col min="1288" max="1536" width="9.1796875" style="53"/>
    <col min="1537" max="1537" width="37.26953125" style="53" customWidth="1"/>
    <col min="1538" max="1538" width="18.453125" style="53" bestFit="1" customWidth="1"/>
    <col min="1539" max="1542" width="12.453125" style="53" bestFit="1" customWidth="1"/>
    <col min="1543" max="1543" width="11.7265625" style="53" bestFit="1" customWidth="1"/>
    <col min="1544" max="1792" width="9.1796875" style="53"/>
    <col min="1793" max="1793" width="37.26953125" style="53" customWidth="1"/>
    <col min="1794" max="1794" width="18.453125" style="53" bestFit="1" customWidth="1"/>
    <col min="1795" max="1798" width="12.453125" style="53" bestFit="1" customWidth="1"/>
    <col min="1799" max="1799" width="11.7265625" style="53" bestFit="1" customWidth="1"/>
    <col min="1800" max="2048" width="9.1796875" style="53"/>
    <col min="2049" max="2049" width="37.26953125" style="53" customWidth="1"/>
    <col min="2050" max="2050" width="18.453125" style="53" bestFit="1" customWidth="1"/>
    <col min="2051" max="2054" width="12.453125" style="53" bestFit="1" customWidth="1"/>
    <col min="2055" max="2055" width="11.7265625" style="53" bestFit="1" customWidth="1"/>
    <col min="2056" max="2304" width="9.1796875" style="53"/>
    <col min="2305" max="2305" width="37.26953125" style="53" customWidth="1"/>
    <col min="2306" max="2306" width="18.453125" style="53" bestFit="1" customWidth="1"/>
    <col min="2307" max="2310" width="12.453125" style="53" bestFit="1" customWidth="1"/>
    <col min="2311" max="2311" width="11.7265625" style="53" bestFit="1" customWidth="1"/>
    <col min="2312" max="2560" width="9.1796875" style="53"/>
    <col min="2561" max="2561" width="37.26953125" style="53" customWidth="1"/>
    <col min="2562" max="2562" width="18.453125" style="53" bestFit="1" customWidth="1"/>
    <col min="2563" max="2566" width="12.453125" style="53" bestFit="1" customWidth="1"/>
    <col min="2567" max="2567" width="11.7265625" style="53" bestFit="1" customWidth="1"/>
    <col min="2568" max="2816" width="9.1796875" style="53"/>
    <col min="2817" max="2817" width="37.26953125" style="53" customWidth="1"/>
    <col min="2818" max="2818" width="18.453125" style="53" bestFit="1" customWidth="1"/>
    <col min="2819" max="2822" width="12.453125" style="53" bestFit="1" customWidth="1"/>
    <col min="2823" max="2823" width="11.7265625" style="53" bestFit="1" customWidth="1"/>
    <col min="2824" max="3072" width="9.1796875" style="53"/>
    <col min="3073" max="3073" width="37.26953125" style="53" customWidth="1"/>
    <col min="3074" max="3074" width="18.453125" style="53" bestFit="1" customWidth="1"/>
    <col min="3075" max="3078" width="12.453125" style="53" bestFit="1" customWidth="1"/>
    <col min="3079" max="3079" width="11.7265625" style="53" bestFit="1" customWidth="1"/>
    <col min="3080" max="3328" width="9.1796875" style="53"/>
    <col min="3329" max="3329" width="37.26953125" style="53" customWidth="1"/>
    <col min="3330" max="3330" width="18.453125" style="53" bestFit="1" customWidth="1"/>
    <col min="3331" max="3334" width="12.453125" style="53" bestFit="1" customWidth="1"/>
    <col min="3335" max="3335" width="11.7265625" style="53" bestFit="1" customWidth="1"/>
    <col min="3336" max="3584" width="9.1796875" style="53"/>
    <col min="3585" max="3585" width="37.26953125" style="53" customWidth="1"/>
    <col min="3586" max="3586" width="18.453125" style="53" bestFit="1" customWidth="1"/>
    <col min="3587" max="3590" width="12.453125" style="53" bestFit="1" customWidth="1"/>
    <col min="3591" max="3591" width="11.7265625" style="53" bestFit="1" customWidth="1"/>
    <col min="3592" max="3840" width="9.1796875" style="53"/>
    <col min="3841" max="3841" width="37.26953125" style="53" customWidth="1"/>
    <col min="3842" max="3842" width="18.453125" style="53" bestFit="1" customWidth="1"/>
    <col min="3843" max="3846" width="12.453125" style="53" bestFit="1" customWidth="1"/>
    <col min="3847" max="3847" width="11.7265625" style="53" bestFit="1" customWidth="1"/>
    <col min="3848" max="4096" width="9.1796875" style="53"/>
    <col min="4097" max="4097" width="37.26953125" style="53" customWidth="1"/>
    <col min="4098" max="4098" width="18.453125" style="53" bestFit="1" customWidth="1"/>
    <col min="4099" max="4102" width="12.453125" style="53" bestFit="1" customWidth="1"/>
    <col min="4103" max="4103" width="11.7265625" style="53" bestFit="1" customWidth="1"/>
    <col min="4104" max="4352" width="9.1796875" style="53"/>
    <col min="4353" max="4353" width="37.26953125" style="53" customWidth="1"/>
    <col min="4354" max="4354" width="18.453125" style="53" bestFit="1" customWidth="1"/>
    <col min="4355" max="4358" width="12.453125" style="53" bestFit="1" customWidth="1"/>
    <col min="4359" max="4359" width="11.7265625" style="53" bestFit="1" customWidth="1"/>
    <col min="4360" max="4608" width="9.1796875" style="53"/>
    <col min="4609" max="4609" width="37.26953125" style="53" customWidth="1"/>
    <col min="4610" max="4610" width="18.453125" style="53" bestFit="1" customWidth="1"/>
    <col min="4611" max="4614" width="12.453125" style="53" bestFit="1" customWidth="1"/>
    <col min="4615" max="4615" width="11.7265625" style="53" bestFit="1" customWidth="1"/>
    <col min="4616" max="4864" width="9.1796875" style="53"/>
    <col min="4865" max="4865" width="37.26953125" style="53" customWidth="1"/>
    <col min="4866" max="4866" width="18.453125" style="53" bestFit="1" customWidth="1"/>
    <col min="4867" max="4870" width="12.453125" style="53" bestFit="1" customWidth="1"/>
    <col min="4871" max="4871" width="11.7265625" style="53" bestFit="1" customWidth="1"/>
    <col min="4872" max="5120" width="9.1796875" style="53"/>
    <col min="5121" max="5121" width="37.26953125" style="53" customWidth="1"/>
    <col min="5122" max="5122" width="18.453125" style="53" bestFit="1" customWidth="1"/>
    <col min="5123" max="5126" width="12.453125" style="53" bestFit="1" customWidth="1"/>
    <col min="5127" max="5127" width="11.7265625" style="53" bestFit="1" customWidth="1"/>
    <col min="5128" max="5376" width="9.1796875" style="53"/>
    <col min="5377" max="5377" width="37.26953125" style="53" customWidth="1"/>
    <col min="5378" max="5378" width="18.453125" style="53" bestFit="1" customWidth="1"/>
    <col min="5379" max="5382" width="12.453125" style="53" bestFit="1" customWidth="1"/>
    <col min="5383" max="5383" width="11.7265625" style="53" bestFit="1" customWidth="1"/>
    <col min="5384" max="5632" width="9.1796875" style="53"/>
    <col min="5633" max="5633" width="37.26953125" style="53" customWidth="1"/>
    <col min="5634" max="5634" width="18.453125" style="53" bestFit="1" customWidth="1"/>
    <col min="5635" max="5638" width="12.453125" style="53" bestFit="1" customWidth="1"/>
    <col min="5639" max="5639" width="11.7265625" style="53" bestFit="1" customWidth="1"/>
    <col min="5640" max="5888" width="9.1796875" style="53"/>
    <col min="5889" max="5889" width="37.26953125" style="53" customWidth="1"/>
    <col min="5890" max="5890" width="18.453125" style="53" bestFit="1" customWidth="1"/>
    <col min="5891" max="5894" width="12.453125" style="53" bestFit="1" customWidth="1"/>
    <col min="5895" max="5895" width="11.7265625" style="53" bestFit="1" customWidth="1"/>
    <col min="5896" max="6144" width="9.1796875" style="53"/>
    <col min="6145" max="6145" width="37.26953125" style="53" customWidth="1"/>
    <col min="6146" max="6146" width="18.453125" style="53" bestFit="1" customWidth="1"/>
    <col min="6147" max="6150" width="12.453125" style="53" bestFit="1" customWidth="1"/>
    <col min="6151" max="6151" width="11.7265625" style="53" bestFit="1" customWidth="1"/>
    <col min="6152" max="6400" width="9.1796875" style="53"/>
    <col min="6401" max="6401" width="37.26953125" style="53" customWidth="1"/>
    <col min="6402" max="6402" width="18.453125" style="53" bestFit="1" customWidth="1"/>
    <col min="6403" max="6406" width="12.453125" style="53" bestFit="1" customWidth="1"/>
    <col min="6407" max="6407" width="11.7265625" style="53" bestFit="1" customWidth="1"/>
    <col min="6408" max="6656" width="9.1796875" style="53"/>
    <col min="6657" max="6657" width="37.26953125" style="53" customWidth="1"/>
    <col min="6658" max="6658" width="18.453125" style="53" bestFit="1" customWidth="1"/>
    <col min="6659" max="6662" width="12.453125" style="53" bestFit="1" customWidth="1"/>
    <col min="6663" max="6663" width="11.7265625" style="53" bestFit="1" customWidth="1"/>
    <col min="6664" max="6912" width="9.1796875" style="53"/>
    <col min="6913" max="6913" width="37.26953125" style="53" customWidth="1"/>
    <col min="6914" max="6914" width="18.453125" style="53" bestFit="1" customWidth="1"/>
    <col min="6915" max="6918" width="12.453125" style="53" bestFit="1" customWidth="1"/>
    <col min="6919" max="6919" width="11.7265625" style="53" bestFit="1" customWidth="1"/>
    <col min="6920" max="7168" width="9.1796875" style="53"/>
    <col min="7169" max="7169" width="37.26953125" style="53" customWidth="1"/>
    <col min="7170" max="7170" width="18.453125" style="53" bestFit="1" customWidth="1"/>
    <col min="7171" max="7174" width="12.453125" style="53" bestFit="1" customWidth="1"/>
    <col min="7175" max="7175" width="11.7265625" style="53" bestFit="1" customWidth="1"/>
    <col min="7176" max="7424" width="9.1796875" style="53"/>
    <col min="7425" max="7425" width="37.26953125" style="53" customWidth="1"/>
    <col min="7426" max="7426" width="18.453125" style="53" bestFit="1" customWidth="1"/>
    <col min="7427" max="7430" width="12.453125" style="53" bestFit="1" customWidth="1"/>
    <col min="7431" max="7431" width="11.7265625" style="53" bestFit="1" customWidth="1"/>
    <col min="7432" max="7680" width="9.1796875" style="53"/>
    <col min="7681" max="7681" width="37.26953125" style="53" customWidth="1"/>
    <col min="7682" max="7682" width="18.453125" style="53" bestFit="1" customWidth="1"/>
    <col min="7683" max="7686" width="12.453125" style="53" bestFit="1" customWidth="1"/>
    <col min="7687" max="7687" width="11.7265625" style="53" bestFit="1" customWidth="1"/>
    <col min="7688" max="7936" width="9.1796875" style="53"/>
    <col min="7937" max="7937" width="37.26953125" style="53" customWidth="1"/>
    <col min="7938" max="7938" width="18.453125" style="53" bestFit="1" customWidth="1"/>
    <col min="7939" max="7942" width="12.453125" style="53" bestFit="1" customWidth="1"/>
    <col min="7943" max="7943" width="11.7265625" style="53" bestFit="1" customWidth="1"/>
    <col min="7944" max="8192" width="9.1796875" style="53"/>
    <col min="8193" max="8193" width="37.26953125" style="53" customWidth="1"/>
    <col min="8194" max="8194" width="18.453125" style="53" bestFit="1" customWidth="1"/>
    <col min="8195" max="8198" width="12.453125" style="53" bestFit="1" customWidth="1"/>
    <col min="8199" max="8199" width="11.7265625" style="53" bestFit="1" customWidth="1"/>
    <col min="8200" max="8448" width="9.1796875" style="53"/>
    <col min="8449" max="8449" width="37.26953125" style="53" customWidth="1"/>
    <col min="8450" max="8450" width="18.453125" style="53" bestFit="1" customWidth="1"/>
    <col min="8451" max="8454" width="12.453125" style="53" bestFit="1" customWidth="1"/>
    <col min="8455" max="8455" width="11.7265625" style="53" bestFit="1" customWidth="1"/>
    <col min="8456" max="8704" width="9.1796875" style="53"/>
    <col min="8705" max="8705" width="37.26953125" style="53" customWidth="1"/>
    <col min="8706" max="8706" width="18.453125" style="53" bestFit="1" customWidth="1"/>
    <col min="8707" max="8710" width="12.453125" style="53" bestFit="1" customWidth="1"/>
    <col min="8711" max="8711" width="11.7265625" style="53" bestFit="1" customWidth="1"/>
    <col min="8712" max="8960" width="9.1796875" style="53"/>
    <col min="8961" max="8961" width="37.26953125" style="53" customWidth="1"/>
    <col min="8962" max="8962" width="18.453125" style="53" bestFit="1" customWidth="1"/>
    <col min="8963" max="8966" width="12.453125" style="53" bestFit="1" customWidth="1"/>
    <col min="8967" max="8967" width="11.7265625" style="53" bestFit="1" customWidth="1"/>
    <col min="8968" max="9216" width="9.1796875" style="53"/>
    <col min="9217" max="9217" width="37.26953125" style="53" customWidth="1"/>
    <col min="9218" max="9218" width="18.453125" style="53" bestFit="1" customWidth="1"/>
    <col min="9219" max="9222" width="12.453125" style="53" bestFit="1" customWidth="1"/>
    <col min="9223" max="9223" width="11.7265625" style="53" bestFit="1" customWidth="1"/>
    <col min="9224" max="9472" width="9.1796875" style="53"/>
    <col min="9473" max="9473" width="37.26953125" style="53" customWidth="1"/>
    <col min="9474" max="9474" width="18.453125" style="53" bestFit="1" customWidth="1"/>
    <col min="9475" max="9478" width="12.453125" style="53" bestFit="1" customWidth="1"/>
    <col min="9479" max="9479" width="11.7265625" style="53" bestFit="1" customWidth="1"/>
    <col min="9480" max="9728" width="9.1796875" style="53"/>
    <col min="9729" max="9729" width="37.26953125" style="53" customWidth="1"/>
    <col min="9730" max="9730" width="18.453125" style="53" bestFit="1" customWidth="1"/>
    <col min="9731" max="9734" width="12.453125" style="53" bestFit="1" customWidth="1"/>
    <col min="9735" max="9735" width="11.7265625" style="53" bestFit="1" customWidth="1"/>
    <col min="9736" max="9984" width="9.1796875" style="53"/>
    <col min="9985" max="9985" width="37.26953125" style="53" customWidth="1"/>
    <col min="9986" max="9986" width="18.453125" style="53" bestFit="1" customWidth="1"/>
    <col min="9987" max="9990" width="12.453125" style="53" bestFit="1" customWidth="1"/>
    <col min="9991" max="9991" width="11.7265625" style="53" bestFit="1" customWidth="1"/>
    <col min="9992" max="10240" width="9.1796875" style="53"/>
    <col min="10241" max="10241" width="37.26953125" style="53" customWidth="1"/>
    <col min="10242" max="10242" width="18.453125" style="53" bestFit="1" customWidth="1"/>
    <col min="10243" max="10246" width="12.453125" style="53" bestFit="1" customWidth="1"/>
    <col min="10247" max="10247" width="11.7265625" style="53" bestFit="1" customWidth="1"/>
    <col min="10248" max="10496" width="9.1796875" style="53"/>
    <col min="10497" max="10497" width="37.26953125" style="53" customWidth="1"/>
    <col min="10498" max="10498" width="18.453125" style="53" bestFit="1" customWidth="1"/>
    <col min="10499" max="10502" width="12.453125" style="53" bestFit="1" customWidth="1"/>
    <col min="10503" max="10503" width="11.7265625" style="53" bestFit="1" customWidth="1"/>
    <col min="10504" max="10752" width="9.1796875" style="53"/>
    <col min="10753" max="10753" width="37.26953125" style="53" customWidth="1"/>
    <col min="10754" max="10754" width="18.453125" style="53" bestFit="1" customWidth="1"/>
    <col min="10755" max="10758" width="12.453125" style="53" bestFit="1" customWidth="1"/>
    <col min="10759" max="10759" width="11.7265625" style="53" bestFit="1" customWidth="1"/>
    <col min="10760" max="11008" width="9.1796875" style="53"/>
    <col min="11009" max="11009" width="37.26953125" style="53" customWidth="1"/>
    <col min="11010" max="11010" width="18.453125" style="53" bestFit="1" customWidth="1"/>
    <col min="11011" max="11014" width="12.453125" style="53" bestFit="1" customWidth="1"/>
    <col min="11015" max="11015" width="11.7265625" style="53" bestFit="1" customWidth="1"/>
    <col min="11016" max="11264" width="9.1796875" style="53"/>
    <col min="11265" max="11265" width="37.26953125" style="53" customWidth="1"/>
    <col min="11266" max="11266" width="18.453125" style="53" bestFit="1" customWidth="1"/>
    <col min="11267" max="11270" width="12.453125" style="53" bestFit="1" customWidth="1"/>
    <col min="11271" max="11271" width="11.7265625" style="53" bestFit="1" customWidth="1"/>
    <col min="11272" max="11520" width="9.1796875" style="53"/>
    <col min="11521" max="11521" width="37.26953125" style="53" customWidth="1"/>
    <col min="11522" max="11522" width="18.453125" style="53" bestFit="1" customWidth="1"/>
    <col min="11523" max="11526" width="12.453125" style="53" bestFit="1" customWidth="1"/>
    <col min="11527" max="11527" width="11.7265625" style="53" bestFit="1" customWidth="1"/>
    <col min="11528" max="11776" width="9.1796875" style="53"/>
    <col min="11777" max="11777" width="37.26953125" style="53" customWidth="1"/>
    <col min="11778" max="11778" width="18.453125" style="53" bestFit="1" customWidth="1"/>
    <col min="11779" max="11782" width="12.453125" style="53" bestFit="1" customWidth="1"/>
    <col min="11783" max="11783" width="11.7265625" style="53" bestFit="1" customWidth="1"/>
    <col min="11784" max="12032" width="9.1796875" style="53"/>
    <col min="12033" max="12033" width="37.26953125" style="53" customWidth="1"/>
    <col min="12034" max="12034" width="18.453125" style="53" bestFit="1" customWidth="1"/>
    <col min="12035" max="12038" width="12.453125" style="53" bestFit="1" customWidth="1"/>
    <col min="12039" max="12039" width="11.7265625" style="53" bestFit="1" customWidth="1"/>
    <col min="12040" max="12288" width="9.1796875" style="53"/>
    <col min="12289" max="12289" width="37.26953125" style="53" customWidth="1"/>
    <col min="12290" max="12290" width="18.453125" style="53" bestFit="1" customWidth="1"/>
    <col min="12291" max="12294" width="12.453125" style="53" bestFit="1" customWidth="1"/>
    <col min="12295" max="12295" width="11.7265625" style="53" bestFit="1" customWidth="1"/>
    <col min="12296" max="12544" width="9.1796875" style="53"/>
    <col min="12545" max="12545" width="37.26953125" style="53" customWidth="1"/>
    <col min="12546" max="12546" width="18.453125" style="53" bestFit="1" customWidth="1"/>
    <col min="12547" max="12550" width="12.453125" style="53" bestFit="1" customWidth="1"/>
    <col min="12551" max="12551" width="11.7265625" style="53" bestFit="1" customWidth="1"/>
    <col min="12552" max="12800" width="9.1796875" style="53"/>
    <col min="12801" max="12801" width="37.26953125" style="53" customWidth="1"/>
    <col min="12802" max="12802" width="18.453125" style="53" bestFit="1" customWidth="1"/>
    <col min="12803" max="12806" width="12.453125" style="53" bestFit="1" customWidth="1"/>
    <col min="12807" max="12807" width="11.7265625" style="53" bestFit="1" customWidth="1"/>
    <col min="12808" max="13056" width="9.1796875" style="53"/>
    <col min="13057" max="13057" width="37.26953125" style="53" customWidth="1"/>
    <col min="13058" max="13058" width="18.453125" style="53" bestFit="1" customWidth="1"/>
    <col min="13059" max="13062" width="12.453125" style="53" bestFit="1" customWidth="1"/>
    <col min="13063" max="13063" width="11.7265625" style="53" bestFit="1" customWidth="1"/>
    <col min="13064" max="13312" width="9.1796875" style="53"/>
    <col min="13313" max="13313" width="37.26953125" style="53" customWidth="1"/>
    <col min="13314" max="13314" width="18.453125" style="53" bestFit="1" customWidth="1"/>
    <col min="13315" max="13318" width="12.453125" style="53" bestFit="1" customWidth="1"/>
    <col min="13319" max="13319" width="11.7265625" style="53" bestFit="1" customWidth="1"/>
    <col min="13320" max="13568" width="9.1796875" style="53"/>
    <col min="13569" max="13569" width="37.26953125" style="53" customWidth="1"/>
    <col min="13570" max="13570" width="18.453125" style="53" bestFit="1" customWidth="1"/>
    <col min="13571" max="13574" width="12.453125" style="53" bestFit="1" customWidth="1"/>
    <col min="13575" max="13575" width="11.7265625" style="53" bestFit="1" customWidth="1"/>
    <col min="13576" max="13824" width="9.1796875" style="53"/>
    <col min="13825" max="13825" width="37.26953125" style="53" customWidth="1"/>
    <col min="13826" max="13826" width="18.453125" style="53" bestFit="1" customWidth="1"/>
    <col min="13827" max="13830" width="12.453125" style="53" bestFit="1" customWidth="1"/>
    <col min="13831" max="13831" width="11.7265625" style="53" bestFit="1" customWidth="1"/>
    <col min="13832" max="14080" width="9.1796875" style="53"/>
    <col min="14081" max="14081" width="37.26953125" style="53" customWidth="1"/>
    <col min="14082" max="14082" width="18.453125" style="53" bestFit="1" customWidth="1"/>
    <col min="14083" max="14086" width="12.453125" style="53" bestFit="1" customWidth="1"/>
    <col min="14087" max="14087" width="11.7265625" style="53" bestFit="1" customWidth="1"/>
    <col min="14088" max="14336" width="9.1796875" style="53"/>
    <col min="14337" max="14337" width="37.26953125" style="53" customWidth="1"/>
    <col min="14338" max="14338" width="18.453125" style="53" bestFit="1" customWidth="1"/>
    <col min="14339" max="14342" width="12.453125" style="53" bestFit="1" customWidth="1"/>
    <col min="14343" max="14343" width="11.7265625" style="53" bestFit="1" customWidth="1"/>
    <col min="14344" max="14592" width="9.1796875" style="53"/>
    <col min="14593" max="14593" width="37.26953125" style="53" customWidth="1"/>
    <col min="14594" max="14594" width="18.453125" style="53" bestFit="1" customWidth="1"/>
    <col min="14595" max="14598" width="12.453125" style="53" bestFit="1" customWidth="1"/>
    <col min="14599" max="14599" width="11.7265625" style="53" bestFit="1" customWidth="1"/>
    <col min="14600" max="14848" width="9.1796875" style="53"/>
    <col min="14849" max="14849" width="37.26953125" style="53" customWidth="1"/>
    <col min="14850" max="14850" width="18.453125" style="53" bestFit="1" customWidth="1"/>
    <col min="14851" max="14854" width="12.453125" style="53" bestFit="1" customWidth="1"/>
    <col min="14855" max="14855" width="11.7265625" style="53" bestFit="1" customWidth="1"/>
    <col min="14856" max="15104" width="9.1796875" style="53"/>
    <col min="15105" max="15105" width="37.26953125" style="53" customWidth="1"/>
    <col min="15106" max="15106" width="18.453125" style="53" bestFit="1" customWidth="1"/>
    <col min="15107" max="15110" width="12.453125" style="53" bestFit="1" customWidth="1"/>
    <col min="15111" max="15111" width="11.7265625" style="53" bestFit="1" customWidth="1"/>
    <col min="15112" max="15360" width="9.1796875" style="53"/>
    <col min="15361" max="15361" width="37.26953125" style="53" customWidth="1"/>
    <col min="15362" max="15362" width="18.453125" style="53" bestFit="1" customWidth="1"/>
    <col min="15363" max="15366" width="12.453125" style="53" bestFit="1" customWidth="1"/>
    <col min="15367" max="15367" width="11.7265625" style="53" bestFit="1" customWidth="1"/>
    <col min="15368" max="15616" width="9.1796875" style="53"/>
    <col min="15617" max="15617" width="37.26953125" style="53" customWidth="1"/>
    <col min="15618" max="15618" width="18.453125" style="53" bestFit="1" customWidth="1"/>
    <col min="15619" max="15622" width="12.453125" style="53" bestFit="1" customWidth="1"/>
    <col min="15623" max="15623" width="11.7265625" style="53" bestFit="1" customWidth="1"/>
    <col min="15624" max="15872" width="9.1796875" style="53"/>
    <col min="15873" max="15873" width="37.26953125" style="53" customWidth="1"/>
    <col min="15874" max="15874" width="18.453125" style="53" bestFit="1" customWidth="1"/>
    <col min="15875" max="15878" width="12.453125" style="53" bestFit="1" customWidth="1"/>
    <col min="15879" max="15879" width="11.7265625" style="53" bestFit="1" customWidth="1"/>
    <col min="15880" max="16128" width="9.1796875" style="53"/>
    <col min="16129" max="16129" width="37.26953125" style="53" customWidth="1"/>
    <col min="16130" max="16130" width="18.453125" style="53" bestFit="1" customWidth="1"/>
    <col min="16131" max="16134" width="12.453125" style="53" bestFit="1" customWidth="1"/>
    <col min="16135" max="16135" width="11.7265625" style="53" bestFit="1" customWidth="1"/>
    <col min="16136" max="16384" width="9.1796875" style="53"/>
  </cols>
  <sheetData>
    <row r="1" spans="1:18">
      <c r="A1" s="432"/>
      <c r="B1" s="432"/>
      <c r="C1" s="432"/>
      <c r="D1" s="432"/>
      <c r="E1" s="432"/>
      <c r="F1" s="432"/>
    </row>
    <row r="2" spans="1:18" ht="17.5">
      <c r="A2" s="461" t="s">
        <v>579</v>
      </c>
      <c r="B2" s="417"/>
      <c r="C2" s="417"/>
      <c r="D2" s="417"/>
      <c r="E2" s="417"/>
      <c r="F2" s="417"/>
      <c r="G2" s="417"/>
      <c r="H2" s="417"/>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253</v>
      </c>
      <c r="B8" s="129">
        <f>'8.Cash Flow '!C33</f>
        <v>4219949.7451943755</v>
      </c>
      <c r="C8" s="129">
        <f>'8.Cash Flow '!D33</f>
        <v>9792402.1406717896</v>
      </c>
      <c r="D8" s="129">
        <f>'8.Cash Flow '!E33</f>
        <v>15731506.302163243</v>
      </c>
      <c r="E8" s="129">
        <f>'8.Cash Flow '!F33</f>
        <v>22083356.207835078</v>
      </c>
      <c r="F8" s="129">
        <f>'8.Cash Flow '!G33</f>
        <v>28893654.977213442</v>
      </c>
      <c r="G8" s="129">
        <f>'8.Cash Flow '!H33</f>
        <v>36163100.471996546</v>
      </c>
      <c r="H8" s="129">
        <f>'8.Cash Flow '!I33</f>
        <v>43984514.625056148</v>
      </c>
      <c r="K8" s="68"/>
      <c r="L8" s="68"/>
      <c r="M8" s="68"/>
      <c r="N8" s="68"/>
      <c r="O8" s="68"/>
      <c r="P8" s="68"/>
      <c r="Q8" s="68"/>
      <c r="R8" s="68"/>
    </row>
    <row r="9" spans="1:18">
      <c r="A9" s="130" t="s">
        <v>254</v>
      </c>
      <c r="B9" s="131"/>
      <c r="C9" s="131"/>
      <c r="D9" s="131"/>
      <c r="E9" s="131"/>
      <c r="F9" s="131"/>
      <c r="G9" s="131"/>
      <c r="H9" s="131"/>
      <c r="K9" s="68"/>
      <c r="L9" s="68"/>
      <c r="M9" s="68"/>
      <c r="N9" s="68"/>
      <c r="O9" s="68"/>
      <c r="P9" s="68"/>
      <c r="Q9" s="68"/>
      <c r="R9" s="68"/>
    </row>
    <row r="10" spans="1:18">
      <c r="A10" s="130" t="s">
        <v>618</v>
      </c>
      <c r="B10" s="131"/>
      <c r="C10" s="131"/>
      <c r="D10" s="131"/>
      <c r="E10" s="131"/>
      <c r="F10" s="131"/>
      <c r="G10" s="131"/>
      <c r="H10" s="131"/>
      <c r="K10" s="68"/>
      <c r="L10" s="68"/>
      <c r="M10" s="68"/>
      <c r="N10" s="68"/>
      <c r="O10" s="68"/>
      <c r="P10" s="68"/>
      <c r="Q10" s="68"/>
      <c r="R10" s="68"/>
    </row>
    <row r="11" spans="1:18">
      <c r="A11" s="126" t="s">
        <v>255</v>
      </c>
      <c r="B11" s="129">
        <f t="shared" ref="B11:H11" si="0">SUM(B8:B10)</f>
        <v>4219949.7451943755</v>
      </c>
      <c r="C11" s="129">
        <f t="shared" si="0"/>
        <v>9792402.1406717896</v>
      </c>
      <c r="D11" s="129">
        <f t="shared" si="0"/>
        <v>15731506.302163243</v>
      </c>
      <c r="E11" s="129">
        <f t="shared" si="0"/>
        <v>22083356.207835078</v>
      </c>
      <c r="F11" s="129">
        <f t="shared" si="0"/>
        <v>28893654.977213442</v>
      </c>
      <c r="G11" s="129">
        <f t="shared" si="0"/>
        <v>36163100.471996546</v>
      </c>
      <c r="H11" s="129">
        <f t="shared" si="0"/>
        <v>43984514.625056148</v>
      </c>
    </row>
    <row r="12" spans="1:18">
      <c r="A12" s="126"/>
      <c r="B12" s="131"/>
      <c r="C12" s="131"/>
      <c r="D12" s="131"/>
      <c r="E12" s="131"/>
      <c r="F12" s="131"/>
      <c r="G12" s="131"/>
      <c r="H12" s="131"/>
      <c r="J12" s="68"/>
      <c r="K12" s="68"/>
      <c r="L12" s="68"/>
      <c r="M12" s="68"/>
      <c r="N12" s="68"/>
      <c r="O12" s="68"/>
      <c r="P12" s="68"/>
      <c r="Q12" s="68"/>
    </row>
    <row r="13" spans="1:18">
      <c r="A13" s="132" t="s">
        <v>256</v>
      </c>
      <c r="B13" s="131">
        <f>'3.Other Exp &amp; Taxes'!C65</f>
        <v>28627928.289999999</v>
      </c>
      <c r="C13" s="131">
        <f>'3.Other Exp &amp; Taxes'!D65</f>
        <v>27489866.271007001</v>
      </c>
      <c r="D13" s="131">
        <f>'3.Other Exp &amp; Taxes'!E65</f>
        <v>26351804.252014</v>
      </c>
      <c r="E13" s="131">
        <f>'3.Other Exp &amp; Taxes'!F65</f>
        <v>25213742.233020999</v>
      </c>
      <c r="F13" s="131">
        <f>'3.Other Exp &amp; Taxes'!G65</f>
        <v>24075680.214028001</v>
      </c>
      <c r="G13" s="131">
        <f>'3.Other Exp &amp; Taxes'!H65</f>
        <v>22937618.195035003</v>
      </c>
      <c r="H13" s="131">
        <f>'3.Other Exp &amp; Taxes'!I65</f>
        <v>21799556.176041998</v>
      </c>
    </row>
    <row r="14" spans="1:18">
      <c r="A14" s="132" t="s">
        <v>257</v>
      </c>
      <c r="B14" s="131">
        <f>'3.Other Exp &amp; Taxes'!C66</f>
        <v>1138062.018993</v>
      </c>
      <c r="C14" s="131">
        <f>'3.Other Exp &amp; Taxes'!D66</f>
        <v>1138062.018993</v>
      </c>
      <c r="D14" s="131">
        <f>'3.Other Exp &amp; Taxes'!E66</f>
        <v>1138062.018993</v>
      </c>
      <c r="E14" s="131">
        <f>'3.Other Exp &amp; Taxes'!F66</f>
        <v>1138062.018993</v>
      </c>
      <c r="F14" s="131">
        <f>'3.Other Exp &amp; Taxes'!G66</f>
        <v>1138062.018993</v>
      </c>
      <c r="G14" s="131">
        <f>'3.Other Exp &amp; Taxes'!H66</f>
        <v>1138062.018993</v>
      </c>
      <c r="H14" s="131">
        <f>'3.Other Exp &amp; Taxes'!I66</f>
        <v>1138062.018993</v>
      </c>
      <c r="K14" s="68"/>
      <c r="L14" s="68"/>
      <c r="M14" s="68"/>
      <c r="N14" s="68"/>
      <c r="O14" s="68"/>
      <c r="P14" s="68"/>
      <c r="Q14" s="68"/>
    </row>
    <row r="15" spans="1:18" s="55" customFormat="1">
      <c r="A15" s="126" t="s">
        <v>202</v>
      </c>
      <c r="B15" s="129">
        <f t="shared" ref="B15:H15" si="1">B13-B14</f>
        <v>27489866.271006998</v>
      </c>
      <c r="C15" s="129">
        <f t="shared" si="1"/>
        <v>26351804.252014</v>
      </c>
      <c r="D15" s="129">
        <f t="shared" si="1"/>
        <v>25213742.233020999</v>
      </c>
      <c r="E15" s="129">
        <f t="shared" si="1"/>
        <v>24075680.214027997</v>
      </c>
      <c r="F15" s="129">
        <f t="shared" si="1"/>
        <v>22937618.195034999</v>
      </c>
      <c r="G15" s="129">
        <f t="shared" si="1"/>
        <v>21799556.176042002</v>
      </c>
      <c r="H15" s="129">
        <f t="shared" si="1"/>
        <v>20661494.157048997</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527</v>
      </c>
      <c r="B18" s="129">
        <f>'8.Cash Flow '!C20-'6.Cons Profit &amp; Loss'!B43</f>
        <v>700000</v>
      </c>
      <c r="C18" s="129">
        <f>B18-'6.Cons Profit &amp; Loss'!C43</f>
        <v>525000</v>
      </c>
      <c r="D18" s="129">
        <f>C18-'6.Cons Profit &amp; Loss'!D43</f>
        <v>350000</v>
      </c>
      <c r="E18" s="129">
        <f>D18-'6.Cons Profit &amp; Loss'!E43</f>
        <v>175000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259</v>
      </c>
      <c r="B20" s="134">
        <f t="shared" ref="B20:H20" si="2">B11+B15+B17+B18</f>
        <v>32409816.016201373</v>
      </c>
      <c r="C20" s="134">
        <f t="shared" si="2"/>
        <v>36669206.392685786</v>
      </c>
      <c r="D20" s="134">
        <f t="shared" si="2"/>
        <v>41295248.535184242</v>
      </c>
      <c r="E20" s="134">
        <f t="shared" si="2"/>
        <v>46334036.421863079</v>
      </c>
      <c r="F20" s="134">
        <f t="shared" si="2"/>
        <v>51831273.172248438</v>
      </c>
      <c r="G20" s="134">
        <f t="shared" si="2"/>
        <v>57962656.648038551</v>
      </c>
      <c r="H20" s="134">
        <f t="shared" si="2"/>
        <v>64646008.782105148</v>
      </c>
    </row>
    <row r="21" spans="1:8">
      <c r="A21" s="121"/>
      <c r="B21" s="135"/>
      <c r="C21" s="135"/>
      <c r="D21" s="135"/>
      <c r="E21" s="135"/>
      <c r="F21" s="135"/>
      <c r="G21" s="135"/>
      <c r="H21" s="135"/>
    </row>
    <row r="22" spans="1:8">
      <c r="A22" s="124" t="s">
        <v>260</v>
      </c>
      <c r="B22" s="136"/>
      <c r="C22" s="136"/>
      <c r="D22" s="136"/>
      <c r="E22" s="136"/>
      <c r="F22" s="136"/>
      <c r="G22" s="136"/>
      <c r="H22" s="136"/>
    </row>
    <row r="23" spans="1:8">
      <c r="A23" s="126" t="s">
        <v>261</v>
      </c>
      <c r="B23" s="136"/>
      <c r="C23" s="136"/>
      <c r="D23" s="136"/>
      <c r="E23" s="136"/>
      <c r="F23" s="136"/>
      <c r="G23" s="136"/>
      <c r="H23" s="136"/>
    </row>
    <row r="24" spans="1:8">
      <c r="A24" s="130" t="s">
        <v>262</v>
      </c>
      <c r="B24" s="129"/>
      <c r="C24" s="129"/>
      <c r="D24" s="129"/>
      <c r="E24" s="129"/>
      <c r="F24" s="129"/>
      <c r="G24" s="129"/>
      <c r="H24" s="129"/>
    </row>
    <row r="25" spans="1:8">
      <c r="A25" s="130" t="s">
        <v>263</v>
      </c>
      <c r="B25" s="135"/>
      <c r="C25" s="135"/>
      <c r="D25" s="135"/>
      <c r="E25" s="135"/>
      <c r="F25" s="135"/>
      <c r="G25" s="135"/>
      <c r="H25" s="135"/>
    </row>
    <row r="26" spans="1:8" s="54" customFormat="1">
      <c r="A26" s="130" t="s">
        <v>264</v>
      </c>
      <c r="B26" s="129"/>
      <c r="C26" s="129"/>
      <c r="D26" s="129"/>
      <c r="E26" s="129"/>
      <c r="F26" s="129"/>
      <c r="G26" s="129"/>
      <c r="H26" s="129"/>
    </row>
    <row r="27" spans="1:8" s="54" customFormat="1">
      <c r="A27" s="126" t="s">
        <v>265</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266</v>
      </c>
      <c r="B28" s="134">
        <f>'4.TL repayment sch'!G21</f>
        <v>0</v>
      </c>
      <c r="C28" s="134">
        <f>'4.TL repayment sch'!G33</f>
        <v>0</v>
      </c>
      <c r="D28" s="134">
        <f>'4.TL repayment sch'!G45</f>
        <v>0</v>
      </c>
      <c r="E28" s="134">
        <f>'4.TL repayment sch'!G57</f>
        <v>0</v>
      </c>
      <c r="F28" s="134">
        <f>'4.TL repayment sch'!G69</f>
        <v>0</v>
      </c>
      <c r="G28" s="134">
        <f>'4.TL repayment sch'!G81</f>
        <v>0</v>
      </c>
      <c r="H28" s="134">
        <f>'[1]Term Loan'!J72+'[1]Term Loan'!S72</f>
        <v>0</v>
      </c>
    </row>
    <row r="29" spans="1:8" s="54" customFormat="1">
      <c r="A29" s="126" t="s">
        <v>267</v>
      </c>
      <c r="B29" s="134"/>
      <c r="C29" s="134"/>
      <c r="D29" s="134"/>
      <c r="E29" s="134"/>
      <c r="F29" s="134"/>
      <c r="G29" s="134"/>
      <c r="H29" s="134"/>
    </row>
    <row r="30" spans="1:8" s="54" customFormat="1">
      <c r="A30" s="126"/>
      <c r="B30" s="137"/>
      <c r="C30" s="137"/>
      <c r="D30" s="137"/>
      <c r="E30" s="137"/>
      <c r="F30" s="137"/>
      <c r="G30" s="137"/>
      <c r="H30" s="137"/>
    </row>
    <row r="31" spans="1:8">
      <c r="A31" s="133" t="s">
        <v>268</v>
      </c>
      <c r="B31" s="134">
        <f t="shared" ref="B31:H31" si="4">SUM(B27:B29)</f>
        <v>0</v>
      </c>
      <c r="C31" s="134">
        <f t="shared" si="4"/>
        <v>0</v>
      </c>
      <c r="D31" s="134">
        <f t="shared" si="4"/>
        <v>0</v>
      </c>
      <c r="E31" s="134">
        <f t="shared" si="4"/>
        <v>0</v>
      </c>
      <c r="F31" s="134">
        <f t="shared" si="4"/>
        <v>0</v>
      </c>
      <c r="G31" s="134">
        <f t="shared" si="4"/>
        <v>0</v>
      </c>
      <c r="H31" s="134">
        <f t="shared" si="4"/>
        <v>0</v>
      </c>
    </row>
    <row r="32" spans="1:8">
      <c r="A32" s="121"/>
      <c r="B32" s="138"/>
      <c r="C32" s="138"/>
      <c r="D32" s="138"/>
      <c r="E32" s="138"/>
      <c r="F32" s="138"/>
      <c r="G32" s="138"/>
      <c r="H32" s="138"/>
    </row>
    <row r="33" spans="1:8">
      <c r="A33" s="132" t="s">
        <v>269</v>
      </c>
      <c r="B33" s="131">
        <f>'1.Project Cost and MOF'!E21</f>
        <v>11801171.316</v>
      </c>
      <c r="C33" s="131">
        <f>B33</f>
        <v>11801171.316</v>
      </c>
      <c r="D33" s="131">
        <f t="shared" ref="D33:H34" si="5">C33</f>
        <v>11801171.316</v>
      </c>
      <c r="E33" s="131">
        <f t="shared" si="5"/>
        <v>11801171.316</v>
      </c>
      <c r="F33" s="131">
        <f t="shared" si="5"/>
        <v>11801171.316</v>
      </c>
      <c r="G33" s="131">
        <f t="shared" si="5"/>
        <v>11801171.316</v>
      </c>
      <c r="H33" s="131">
        <f t="shared" si="5"/>
        <v>11801171.316</v>
      </c>
    </row>
    <row r="34" spans="1:8">
      <c r="A34" s="132" t="s">
        <v>528</v>
      </c>
      <c r="B34" s="131">
        <f>'1.Project Cost and MOF'!E19</f>
        <v>17701756.973999999</v>
      </c>
      <c r="C34" s="131">
        <f>B34</f>
        <v>17701756.973999999</v>
      </c>
      <c r="D34" s="131">
        <f t="shared" si="5"/>
        <v>17701756.973999999</v>
      </c>
      <c r="E34" s="131">
        <f t="shared" si="5"/>
        <v>17701756.973999999</v>
      </c>
      <c r="F34" s="131">
        <f t="shared" si="5"/>
        <v>17701756.973999999</v>
      </c>
      <c r="G34" s="131">
        <f t="shared" si="5"/>
        <v>17701756.973999999</v>
      </c>
      <c r="H34" s="131">
        <f t="shared" si="5"/>
        <v>17701756.973999999</v>
      </c>
    </row>
    <row r="35" spans="1:8">
      <c r="A35" s="126" t="s">
        <v>270</v>
      </c>
      <c r="B35" s="131"/>
      <c r="C35" s="131"/>
      <c r="D35" s="131"/>
      <c r="E35" s="131"/>
      <c r="F35" s="131"/>
      <c r="G35" s="131"/>
      <c r="H35" s="131"/>
    </row>
    <row r="36" spans="1:8">
      <c r="A36" s="132" t="s">
        <v>271</v>
      </c>
      <c r="B36" s="131">
        <v>0</v>
      </c>
      <c r="C36" s="131">
        <f t="shared" ref="C36:H36" si="6">B39</f>
        <v>2906887.7262012898</v>
      </c>
      <c r="D36" s="131">
        <f t="shared" si="6"/>
        <v>7166278.1026857104</v>
      </c>
      <c r="E36" s="131">
        <f t="shared" si="6"/>
        <v>11792320.245184153</v>
      </c>
      <c r="F36" s="131">
        <f t="shared" si="6"/>
        <v>16831108.131862964</v>
      </c>
      <c r="G36" s="131">
        <f t="shared" si="6"/>
        <v>22328344.882248305</v>
      </c>
      <c r="H36" s="131">
        <f t="shared" si="6"/>
        <v>28459728.358038396</v>
      </c>
    </row>
    <row r="37" spans="1:8">
      <c r="A37" s="132" t="s">
        <v>272</v>
      </c>
      <c r="B37" s="131">
        <f>'6.Cons Profit &amp; Loss'!B53</f>
        <v>2906887.7262012898</v>
      </c>
      <c r="C37" s="131">
        <f>'6.Cons Profit &amp; Loss'!C51</f>
        <v>4259390.3764844211</v>
      </c>
      <c r="D37" s="131">
        <f>'6.Cons Profit &amp; Loss'!D51</f>
        <v>4626042.142498442</v>
      </c>
      <c r="E37" s="131">
        <f>'6.Cons Profit &amp; Loss'!E51</f>
        <v>5038787.8866788102</v>
      </c>
      <c r="F37" s="131">
        <f>'6.Cons Profit &amp; Loss'!F51</f>
        <v>5497236.7503853422</v>
      </c>
      <c r="G37" s="131">
        <f>'6.Cons Profit &amp; Loss'!G51</f>
        <v>6131383.4757900909</v>
      </c>
      <c r="H37" s="131">
        <f>'6.Cons Profit &amp; Loss'!H51</f>
        <v>6683352.1340666246</v>
      </c>
    </row>
    <row r="38" spans="1:8">
      <c r="A38" s="132" t="s">
        <v>273</v>
      </c>
      <c r="B38" s="131"/>
      <c r="C38" s="131"/>
      <c r="D38" s="131"/>
      <c r="E38" s="131"/>
      <c r="F38" s="131"/>
      <c r="G38" s="131"/>
      <c r="H38" s="131"/>
    </row>
    <row r="39" spans="1:8">
      <c r="A39" s="132" t="s">
        <v>274</v>
      </c>
      <c r="B39" s="131">
        <f t="shared" ref="B39:H39" si="7">B36+B37-B38</f>
        <v>2906887.7262012898</v>
      </c>
      <c r="C39" s="131">
        <f t="shared" si="7"/>
        <v>7166278.1026857104</v>
      </c>
      <c r="D39" s="131">
        <f t="shared" si="7"/>
        <v>11792320.245184153</v>
      </c>
      <c r="E39" s="131">
        <f t="shared" si="7"/>
        <v>16831108.131862964</v>
      </c>
      <c r="F39" s="131">
        <f t="shared" si="7"/>
        <v>22328344.882248305</v>
      </c>
      <c r="G39" s="131">
        <f t="shared" si="7"/>
        <v>28459728.358038396</v>
      </c>
      <c r="H39" s="131">
        <f t="shared" si="7"/>
        <v>35143080.492105022</v>
      </c>
    </row>
    <row r="40" spans="1:8">
      <c r="A40" s="132"/>
      <c r="B40" s="136"/>
      <c r="C40" s="136"/>
      <c r="D40" s="136"/>
      <c r="E40" s="136"/>
      <c r="F40" s="136"/>
      <c r="G40" s="136"/>
      <c r="H40" s="136"/>
    </row>
    <row r="41" spans="1:8">
      <c r="A41" s="139" t="s">
        <v>275</v>
      </c>
      <c r="B41" s="140">
        <f t="shared" ref="B41:H41" si="8">B33+B39+B34</f>
        <v>32409816.016201288</v>
      </c>
      <c r="C41" s="140">
        <f t="shared" si="8"/>
        <v>36669206.392685711</v>
      </c>
      <c r="D41" s="140">
        <f t="shared" si="8"/>
        <v>41295248.535184152</v>
      </c>
      <c r="E41" s="140">
        <f t="shared" si="8"/>
        <v>46334036.42186296</v>
      </c>
      <c r="F41" s="140">
        <f t="shared" si="8"/>
        <v>51831273.172248304</v>
      </c>
      <c r="G41" s="140">
        <f t="shared" si="8"/>
        <v>57962656.648038395</v>
      </c>
      <c r="H41" s="140">
        <f t="shared" si="8"/>
        <v>64646008.782105021</v>
      </c>
    </row>
    <row r="42" spans="1:8">
      <c r="A42" s="121"/>
      <c r="B42" s="131"/>
      <c r="C42" s="131"/>
      <c r="D42" s="131"/>
      <c r="E42" s="131"/>
      <c r="F42" s="131"/>
      <c r="G42" s="131"/>
      <c r="H42" s="131"/>
    </row>
    <row r="43" spans="1:8">
      <c r="A43" s="133" t="s">
        <v>276</v>
      </c>
      <c r="B43" s="134">
        <f t="shared" ref="B43:H43" si="9">B31+B41</f>
        <v>32409816.016201288</v>
      </c>
      <c r="C43" s="134">
        <f t="shared" si="9"/>
        <v>36669206.392685711</v>
      </c>
      <c r="D43" s="134">
        <f t="shared" si="9"/>
        <v>41295248.535184152</v>
      </c>
      <c r="E43" s="134">
        <f t="shared" si="9"/>
        <v>46334036.42186296</v>
      </c>
      <c r="F43" s="134">
        <f t="shared" si="9"/>
        <v>51831273.172248304</v>
      </c>
      <c r="G43" s="134">
        <f t="shared" si="9"/>
        <v>57962656.648038395</v>
      </c>
      <c r="H43" s="134">
        <f t="shared" si="9"/>
        <v>64646008.782105021</v>
      </c>
    </row>
    <row r="44" spans="1:8">
      <c r="A44" s="121"/>
      <c r="B44" s="141"/>
      <c r="C44" s="141"/>
      <c r="D44" s="141"/>
      <c r="E44" s="141"/>
      <c r="F44" s="141"/>
      <c r="G44" s="141"/>
      <c r="H44" s="141"/>
    </row>
    <row r="45" spans="1:8">
      <c r="A45" s="142" t="s">
        <v>277</v>
      </c>
      <c r="B45" s="143"/>
      <c r="C45" s="143"/>
      <c r="D45" s="143"/>
      <c r="E45" s="143"/>
      <c r="F45" s="143"/>
      <c r="G45" s="143"/>
      <c r="H45" s="143"/>
    </row>
    <row r="46" spans="1:8">
      <c r="A46" s="144" t="s">
        <v>278</v>
      </c>
      <c r="B46" s="145">
        <f t="shared" ref="B46:H46" si="10">B43-B20</f>
        <v>-8.5681676864624023E-8</v>
      </c>
      <c r="C46" s="145">
        <f t="shared" si="10"/>
        <v>-7.4505805969238281E-8</v>
      </c>
      <c r="D46" s="145">
        <f t="shared" si="10"/>
        <v>-8.9406967163085938E-8</v>
      </c>
      <c r="E46" s="145">
        <f t="shared" si="10"/>
        <v>-1.1920928955078125E-7</v>
      </c>
      <c r="F46" s="145">
        <f t="shared" si="10"/>
        <v>-1.3411045074462891E-7</v>
      </c>
      <c r="G46" s="145">
        <f t="shared" si="10"/>
        <v>-1.5646219253540039E-7</v>
      </c>
      <c r="H46" s="145">
        <f t="shared" si="10"/>
        <v>-1.2665987014770508E-7</v>
      </c>
    </row>
    <row r="47" spans="1:8">
      <c r="A47" s="144"/>
      <c r="B47" s="145"/>
      <c r="C47" s="145"/>
      <c r="D47" s="145"/>
      <c r="E47" s="145"/>
      <c r="F47" s="145"/>
      <c r="G47" s="145"/>
      <c r="H47" s="145"/>
    </row>
    <row r="48" spans="1:8" ht="15" thickBot="1">
      <c r="A48" s="146"/>
      <c r="B48" s="147"/>
      <c r="C48" s="147"/>
      <c r="D48" s="147"/>
      <c r="E48" s="147"/>
      <c r="F48" s="147"/>
      <c r="G48" s="147"/>
      <c r="H48" s="147"/>
    </row>
    <row r="49" spans="1:9">
      <c r="B49" s="56"/>
      <c r="C49" s="56"/>
      <c r="D49" s="56"/>
      <c r="E49" s="56"/>
      <c r="F49" s="56"/>
      <c r="G49" s="56"/>
      <c r="H49" s="56"/>
    </row>
    <row r="50" spans="1:9" ht="39.65" customHeight="1">
      <c r="A50" s="462" t="s">
        <v>420</v>
      </c>
      <c r="B50" s="463"/>
      <c r="C50" s="463"/>
      <c r="D50" s="463"/>
      <c r="E50" s="463"/>
      <c r="F50" s="463"/>
      <c r="G50" s="463"/>
      <c r="H50" s="463"/>
      <c r="I50" s="463"/>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80" zoomScaleSheetLayoutView="80" workbookViewId="0">
      <selection activeCell="A2" sqref="A2:I33"/>
    </sheetView>
  </sheetViews>
  <sheetFormatPr defaultRowHeight="14.5"/>
  <cols>
    <col min="1" max="1" width="3.54296875" bestFit="1" customWidth="1"/>
    <col min="2" max="2" width="35.7265625" bestFit="1" customWidth="1"/>
    <col min="3" max="3" width="15.54296875" customWidth="1"/>
    <col min="4" max="4" width="15.7265625" customWidth="1"/>
    <col min="5" max="5" width="14.54296875" customWidth="1"/>
    <col min="6" max="6" width="14.7265625" customWidth="1"/>
    <col min="7" max="7" width="18.81640625" customWidth="1"/>
    <col min="8" max="9" width="14.81640625" bestFit="1" customWidth="1"/>
  </cols>
  <sheetData>
    <row r="1" spans="1:10">
      <c r="A1" s="432"/>
      <c r="B1" s="432"/>
      <c r="C1" s="432"/>
      <c r="D1" s="432"/>
      <c r="E1" s="432"/>
      <c r="F1" s="432"/>
      <c r="G1" s="432"/>
    </row>
    <row r="2" spans="1:10" ht="17.5">
      <c r="A2" s="417" t="s">
        <v>580</v>
      </c>
      <c r="B2" s="417"/>
      <c r="C2" s="417"/>
      <c r="D2" s="417"/>
      <c r="E2" s="417"/>
      <c r="F2" s="417"/>
      <c r="G2" s="417"/>
      <c r="H2" s="417"/>
      <c r="I2" s="417"/>
      <c r="J2" s="84"/>
    </row>
    <row r="4" spans="1:10">
      <c r="A4" s="58" t="s">
        <v>234</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374</v>
      </c>
      <c r="C6" s="41">
        <f>'6.Cons Profit &amp; Loss'!B15</f>
        <v>238256250.34031549</v>
      </c>
      <c r="D6" s="41">
        <f>'6.Cons Profit &amp; Loss'!C15</f>
        <v>275149074.74121898</v>
      </c>
      <c r="E6" s="41">
        <f>'6.Cons Profit &amp; Loss'!D15</f>
        <v>302357304.10327995</v>
      </c>
      <c r="F6" s="41">
        <f>'6.Cons Profit &amp; Loss'!E15</f>
        <v>331598483.71469396</v>
      </c>
      <c r="G6" s="41">
        <f>'6.Cons Profit &amp; Loss'!F15</f>
        <v>363007888.02699119</v>
      </c>
      <c r="H6" s="41">
        <f>'6.Cons Profit &amp; Loss'!G15</f>
        <v>396729236.56123143</v>
      </c>
      <c r="I6" s="41">
        <f>'6.Cons Profit &amp; Loss'!H15</f>
        <v>432915200.22882825</v>
      </c>
    </row>
    <row r="7" spans="1:10">
      <c r="A7" s="40">
        <v>2</v>
      </c>
      <c r="B7" s="40" t="s">
        <v>235</v>
      </c>
      <c r="C7" s="41">
        <f>'1.Project Cost and MOF'!E21</f>
        <v>11801171.316</v>
      </c>
      <c r="D7" s="41"/>
      <c r="E7" s="41"/>
      <c r="F7" s="41"/>
      <c r="G7" s="41"/>
      <c r="H7" s="41"/>
      <c r="I7" s="41"/>
    </row>
    <row r="8" spans="1:10">
      <c r="A8" s="40"/>
      <c r="B8" s="40" t="s">
        <v>296</v>
      </c>
      <c r="C8" s="41"/>
      <c r="D8" s="41"/>
      <c r="E8" s="41"/>
      <c r="F8" s="41"/>
      <c r="G8" s="41"/>
      <c r="H8" s="41"/>
      <c r="I8" s="41"/>
    </row>
    <row r="9" spans="1:10">
      <c r="A9" s="40">
        <v>3</v>
      </c>
      <c r="B9" s="40" t="str">
        <f>'7.Balance Sheet'!A34</f>
        <v>Smart Grant -in-Aid</v>
      </c>
      <c r="C9" s="41">
        <f>'1.Project Cost and MOF'!E19</f>
        <v>17701756.973999999</v>
      </c>
      <c r="D9" s="41"/>
      <c r="E9" s="41"/>
      <c r="F9" s="41"/>
      <c r="G9" s="41"/>
      <c r="H9" s="41"/>
      <c r="I9" s="41"/>
    </row>
    <row r="10" spans="1:10">
      <c r="A10" s="40">
        <v>4</v>
      </c>
      <c r="B10" s="40" t="s">
        <v>236</v>
      </c>
      <c r="C10" s="41">
        <f>'1.Project Cost and MOF'!E20</f>
        <v>0</v>
      </c>
      <c r="D10" s="41"/>
      <c r="E10" s="41"/>
      <c r="F10" s="41"/>
      <c r="G10" s="41"/>
      <c r="H10" s="41"/>
      <c r="I10" s="41"/>
    </row>
    <row r="11" spans="1:10">
      <c r="A11" s="40">
        <v>5</v>
      </c>
      <c r="B11" s="40" t="s">
        <v>237</v>
      </c>
      <c r="C11" s="41">
        <f>'5.Closing Stock &amp; W Capital'!E55*75%</f>
        <v>11606201.274435354</v>
      </c>
      <c r="D11" s="41">
        <f>'5.Closing Stock &amp; W Capital'!F55</f>
        <v>17335755.138251547</v>
      </c>
      <c r="E11" s="41">
        <f>'5.Closing Stock &amp; W Capital'!G55</f>
        <v>19058901.702280562</v>
      </c>
      <c r="F11" s="41">
        <f>'5.Closing Stock &amp; W Capital'!H55</f>
        <v>20911023.534866855</v>
      </c>
      <c r="G11" s="41">
        <f>'5.Closing Stock &amp; W Capital'!I55</f>
        <v>22900710.296456072</v>
      </c>
      <c r="H11" s="41">
        <f>'5.Closing Stock &amp; W Capital'!J55</f>
        <v>25037088.17536705</v>
      </c>
      <c r="I11" s="41">
        <f>'5.Closing Stock &amp; W Capital'!K55</f>
        <v>27329852.066427983</v>
      </c>
    </row>
    <row r="12" spans="1:10">
      <c r="A12" s="40"/>
      <c r="B12" s="40" t="s">
        <v>238</v>
      </c>
      <c r="C12" s="43">
        <f t="shared" ref="C12:I12" si="0">SUM(C6:C11)</f>
        <v>279365379.90475088</v>
      </c>
      <c r="D12" s="43">
        <f t="shared" si="0"/>
        <v>292484829.87947053</v>
      </c>
      <c r="E12" s="43">
        <f t="shared" si="0"/>
        <v>321416205.80556053</v>
      </c>
      <c r="F12" s="43">
        <f t="shared" si="0"/>
        <v>352509507.24956083</v>
      </c>
      <c r="G12" s="43">
        <f t="shared" si="0"/>
        <v>385908598.32344729</v>
      </c>
      <c r="H12" s="43">
        <f t="shared" si="0"/>
        <v>421766324.73659849</v>
      </c>
      <c r="I12" s="43">
        <f t="shared" si="0"/>
        <v>460245052.29525626</v>
      </c>
    </row>
    <row r="13" spans="1:10">
      <c r="A13" s="464" t="s">
        <v>239</v>
      </c>
      <c r="B13" s="464"/>
      <c r="C13" s="44"/>
      <c r="D13" s="44"/>
      <c r="E13" s="44"/>
      <c r="F13" s="44"/>
      <c r="G13" s="44"/>
      <c r="H13" s="44"/>
      <c r="I13" s="44"/>
    </row>
    <row r="14" spans="1:10">
      <c r="A14" s="40">
        <v>1</v>
      </c>
      <c r="B14" s="40" t="s">
        <v>240</v>
      </c>
      <c r="C14" s="44"/>
      <c r="D14" s="44"/>
      <c r="E14" s="44"/>
      <c r="F14" s="44"/>
      <c r="G14" s="44"/>
      <c r="H14" s="44"/>
      <c r="I14" s="44"/>
    </row>
    <row r="15" spans="1:10">
      <c r="A15" s="45" t="s">
        <v>241</v>
      </c>
      <c r="B15" s="44" t="str">
        <f>'[1]Total Cost of Project'!C3</f>
        <v>Land and Building</v>
      </c>
      <c r="C15" s="46">
        <f>'1.Project Cost and MOF'!D5</f>
        <v>23707346.289999999</v>
      </c>
      <c r="D15" s="46"/>
      <c r="E15" s="46"/>
      <c r="F15" s="46"/>
      <c r="G15" s="46"/>
      <c r="H15" s="46"/>
      <c r="I15" s="46"/>
    </row>
    <row r="16" spans="1:10">
      <c r="A16" s="45" t="s">
        <v>242</v>
      </c>
      <c r="B16" s="47" t="str">
        <f>'[1]Total Cost of Project'!C4</f>
        <v>Machinery and Equipment</v>
      </c>
      <c r="C16" s="46">
        <f>'1.Project Cost and MOF'!D6</f>
        <v>3373600</v>
      </c>
      <c r="D16" s="46"/>
      <c r="E16" s="46"/>
      <c r="F16" s="46"/>
      <c r="G16" s="46"/>
      <c r="H16" s="46"/>
      <c r="I16" s="46"/>
    </row>
    <row r="17" spans="1:9">
      <c r="A17" s="45" t="s">
        <v>279</v>
      </c>
      <c r="B17" s="47" t="s">
        <v>338</v>
      </c>
      <c r="C17" s="46">
        <f>'1.Project Cost and MOF'!D7</f>
        <v>186000</v>
      </c>
      <c r="D17" s="46"/>
      <c r="E17" s="46"/>
      <c r="F17" s="46"/>
      <c r="G17" s="46"/>
      <c r="H17" s="46"/>
      <c r="I17" s="46"/>
    </row>
    <row r="18" spans="1:9">
      <c r="A18" s="45" t="s">
        <v>281</v>
      </c>
      <c r="B18" s="47" t="s">
        <v>340</v>
      </c>
      <c r="C18" s="46">
        <f>'1.Project Cost and MOF'!D8</f>
        <v>388000</v>
      </c>
      <c r="D18" s="46"/>
      <c r="E18" s="46"/>
      <c r="F18" s="46"/>
      <c r="G18" s="46"/>
      <c r="H18" s="46"/>
      <c r="I18" s="46"/>
    </row>
    <row r="19" spans="1:9">
      <c r="A19" s="45" t="s">
        <v>341</v>
      </c>
      <c r="B19" s="47" t="s">
        <v>280</v>
      </c>
      <c r="C19" s="46">
        <f>'1.Project Cost and MOF'!D9</f>
        <v>972982</v>
      </c>
      <c r="D19" s="41"/>
      <c r="E19" s="41"/>
      <c r="F19" s="41"/>
      <c r="G19" s="41"/>
      <c r="H19" s="41"/>
      <c r="I19" s="41"/>
    </row>
    <row r="20" spans="1:9">
      <c r="A20" s="45" t="s">
        <v>342</v>
      </c>
      <c r="B20" s="47" t="s">
        <v>282</v>
      </c>
      <c r="C20" s="46">
        <f>'1.Project Cost and MOF'!D10</f>
        <v>875000</v>
      </c>
      <c r="D20" s="41"/>
      <c r="E20" s="41"/>
      <c r="F20" s="41"/>
      <c r="G20" s="41"/>
      <c r="H20" s="41"/>
      <c r="I20" s="41"/>
    </row>
    <row r="21" spans="1:9">
      <c r="A21" s="40">
        <v>2</v>
      </c>
      <c r="B21" s="40" t="s">
        <v>243</v>
      </c>
      <c r="C21" s="44"/>
      <c r="D21" s="44"/>
      <c r="E21" s="44"/>
      <c r="F21" s="44"/>
      <c r="G21" s="44"/>
      <c r="H21" s="44"/>
      <c r="I21" s="44"/>
    </row>
    <row r="22" spans="1:9">
      <c r="A22" s="45" t="s">
        <v>241</v>
      </c>
      <c r="B22" s="44" t="s">
        <v>316</v>
      </c>
      <c r="C22" s="73">
        <f>'6.Cons Profit &amp; Loss'!B25</f>
        <v>228524460.18244502</v>
      </c>
      <c r="D22" s="73">
        <f>'6.Cons Profit &amp; Loss'!C25</f>
        <v>262570858.85572147</v>
      </c>
      <c r="E22" s="73">
        <f>'6.Cons Profit &amp; Loss'!D25</f>
        <v>288758383.73100758</v>
      </c>
      <c r="F22" s="73">
        <f>'6.Cons Profit &amp; Loss'!E25</f>
        <v>316908233.94668305</v>
      </c>
      <c r="G22" s="73">
        <f>'6.Cons Profit &amp; Loss'!F25</f>
        <v>347151173.22459835</v>
      </c>
      <c r="H22" s="73">
        <f>'6.Cons Profit &amp; Loss'!G25</f>
        <v>379626135.84543878</v>
      </c>
      <c r="I22" s="73">
        <f>'6.Cons Profit &amp; Loss'!H25</f>
        <v>414480716.79530138</v>
      </c>
    </row>
    <row r="23" spans="1:9">
      <c r="A23" s="45" t="s">
        <v>242</v>
      </c>
      <c r="B23" s="44" t="s">
        <v>314</v>
      </c>
      <c r="C23" s="41">
        <f>'6.Cons Profit &amp; Loss'!B36</f>
        <v>3821000</v>
      </c>
      <c r="D23" s="41">
        <f>'6.Cons Profit &amp; Loss'!C36</f>
        <v>4012050</v>
      </c>
      <c r="E23" s="41">
        <f>'6.Cons Profit &amp; Loss'!D36</f>
        <v>4212652.5</v>
      </c>
      <c r="F23" s="41">
        <f>'6.Cons Profit &amp; Loss'!E36</f>
        <v>4423285.1250000009</v>
      </c>
      <c r="G23" s="41">
        <f>'6.Cons Profit &amp; Loss'!F36</f>
        <v>4644449.3812500006</v>
      </c>
      <c r="H23" s="41">
        <f>'6.Cons Profit &amp; Loss'!G36</f>
        <v>4876671.8503125012</v>
      </c>
      <c r="I23" s="41">
        <f>'6.Cons Profit &amp; Loss'!H36</f>
        <v>5120505.4428281263</v>
      </c>
    </row>
    <row r="24" spans="1:9">
      <c r="A24" s="48">
        <v>3</v>
      </c>
      <c r="B24" s="40" t="s">
        <v>526</v>
      </c>
      <c r="C24" s="41"/>
      <c r="D24" s="41"/>
      <c r="E24" s="41"/>
      <c r="F24" s="41"/>
      <c r="G24" s="41"/>
      <c r="H24" s="41"/>
      <c r="I24" s="41"/>
    </row>
    <row r="25" spans="1:9">
      <c r="A25" s="45"/>
      <c r="B25" s="44" t="s">
        <v>244</v>
      </c>
      <c r="C25" s="41">
        <f>SUM('4.TL repayment sch'!E10:E21)</f>
        <v>0</v>
      </c>
      <c r="D25" s="41">
        <f>SUM('4.TL repayment sch'!E22:E33)</f>
        <v>0</v>
      </c>
      <c r="E25" s="41">
        <f>SUM('4.TL repayment sch'!E34:E45)</f>
        <v>0</v>
      </c>
      <c r="F25" s="41">
        <f>SUM('4.TL repayment sch'!E46:E57)</f>
        <v>0</v>
      </c>
      <c r="G25" s="41">
        <f>SUM('4.TL repayment sch'!E58:E69)</f>
        <v>0</v>
      </c>
      <c r="H25" s="41">
        <f>SUM('4.TL repayment sch'!E70:E81)</f>
        <v>0</v>
      </c>
      <c r="I25" s="41">
        <f>SUM('4.TL repayment sch'!E82:E93)</f>
        <v>0</v>
      </c>
    </row>
    <row r="26" spans="1:9">
      <c r="A26" s="45"/>
      <c r="B26" s="44" t="s">
        <v>245</v>
      </c>
      <c r="C26" s="41">
        <f>SUM('4.TL repayment sch'!D10:D21)</f>
        <v>0</v>
      </c>
      <c r="D26" s="41">
        <f>SUM('4.TL repayment sch'!D22:D33)</f>
        <v>0</v>
      </c>
      <c r="E26" s="41">
        <f>SUM('4.TL repayment sch'!D34:D45)</f>
        <v>0</v>
      </c>
      <c r="F26" s="41">
        <f>SUM('4.TL repayment sch'!D46:D57)</f>
        <v>0</v>
      </c>
      <c r="G26" s="41">
        <f>SUM('4.TL repayment sch'!D58:D69)</f>
        <v>0</v>
      </c>
      <c r="H26" s="41">
        <f>SUM('4.TL repayment sch'!D70:D81)</f>
        <v>0</v>
      </c>
      <c r="I26" s="41">
        <f>SUM('4.TL repayment sch'!D82:D93)</f>
        <v>0</v>
      </c>
    </row>
    <row r="27" spans="1:9">
      <c r="A27" s="45"/>
      <c r="B27" s="44" t="s">
        <v>246</v>
      </c>
      <c r="C27" s="41">
        <f t="shared" ref="C27:I27" si="1">C11</f>
        <v>11606201.274435354</v>
      </c>
      <c r="D27" s="41">
        <f t="shared" si="1"/>
        <v>17335755.138251547</v>
      </c>
      <c r="E27" s="41">
        <f t="shared" si="1"/>
        <v>19058901.702280562</v>
      </c>
      <c r="F27" s="41">
        <f t="shared" si="1"/>
        <v>20911023.534866855</v>
      </c>
      <c r="G27" s="41">
        <f t="shared" si="1"/>
        <v>22900710.296456072</v>
      </c>
      <c r="H27" s="41">
        <f t="shared" si="1"/>
        <v>25037088.17536705</v>
      </c>
      <c r="I27" s="41">
        <f t="shared" si="1"/>
        <v>27329852.066427983</v>
      </c>
    </row>
    <row r="28" spans="1:9">
      <c r="A28" s="45"/>
      <c r="B28" s="44" t="s">
        <v>247</v>
      </c>
      <c r="C28" s="49">
        <f>C27*12%</f>
        <v>1392744.1529322425</v>
      </c>
      <c r="D28" s="49">
        <f t="shared" ref="D28:G28" si="2">D27*12%</f>
        <v>2080290.6165901856</v>
      </c>
      <c r="E28" s="49">
        <f t="shared" si="2"/>
        <v>2287068.2042736672</v>
      </c>
      <c r="F28" s="49">
        <f t="shared" si="2"/>
        <v>2509322.8241840224</v>
      </c>
      <c r="G28" s="49">
        <f t="shared" si="2"/>
        <v>2748085.2355747288</v>
      </c>
      <c r="H28" s="49">
        <f t="shared" ref="H28:I28" si="3">H27*12%</f>
        <v>3004450.5810440457</v>
      </c>
      <c r="I28" s="49">
        <f t="shared" si="3"/>
        <v>3279582.2479713578</v>
      </c>
    </row>
    <row r="29" spans="1:9">
      <c r="A29" s="40">
        <v>4</v>
      </c>
      <c r="B29" s="40" t="s">
        <v>248</v>
      </c>
      <c r="C29" s="41">
        <f>'6.Cons Profit &amp; Loss'!B50</f>
        <v>298096.25974393979</v>
      </c>
      <c r="D29" s="41">
        <f>'6.Cons Profit &amp; Loss'!C50</f>
        <v>913422.87342990458</v>
      </c>
      <c r="E29" s="41">
        <f>'6.Cons Profit &amp; Loss'!D50</f>
        <v>1160095.5065072633</v>
      </c>
      <c r="F29" s="41">
        <f>'6.Cons Profit &amp; Loss'!E50</f>
        <v>1405791.9131550817</v>
      </c>
      <c r="G29" s="41">
        <f>'6.Cons Profit &amp; Loss'!F50</f>
        <v>1653881.4161897465</v>
      </c>
      <c r="H29" s="41">
        <f>'6.Cons Profit &amp; Loss'!G50</f>
        <v>1952532.7896529878</v>
      </c>
      <c r="I29" s="41">
        <f>'6.Cons Profit &amp; Loss'!H50</f>
        <v>2212981.5896677729</v>
      </c>
    </row>
    <row r="30" spans="1:9">
      <c r="A30" s="40"/>
      <c r="B30" s="40" t="s">
        <v>249</v>
      </c>
      <c r="C30" s="50">
        <f t="shared" ref="C30:I30" si="4">SUM(C15:C29)</f>
        <v>275145430.15955651</v>
      </c>
      <c r="D30" s="50">
        <f t="shared" si="4"/>
        <v>286912377.48399311</v>
      </c>
      <c r="E30" s="50">
        <f t="shared" si="4"/>
        <v>315477101.64406908</v>
      </c>
      <c r="F30" s="50">
        <f t="shared" si="4"/>
        <v>346157657.343889</v>
      </c>
      <c r="G30" s="50">
        <f t="shared" si="4"/>
        <v>379098299.55406892</v>
      </c>
      <c r="H30" s="50">
        <f t="shared" si="4"/>
        <v>414496879.24181539</v>
      </c>
      <c r="I30" s="50">
        <f t="shared" si="4"/>
        <v>452423638.14219666</v>
      </c>
    </row>
    <row r="31" spans="1:9">
      <c r="A31" s="40"/>
      <c r="B31" s="40" t="s">
        <v>250</v>
      </c>
      <c r="C31" s="50">
        <f t="shared" ref="C31:I31" si="5">C12-C30</f>
        <v>4219949.7451943755</v>
      </c>
      <c r="D31" s="50">
        <f t="shared" si="5"/>
        <v>5572452.3954774141</v>
      </c>
      <c r="E31" s="50">
        <f t="shared" si="5"/>
        <v>5939104.1614914536</v>
      </c>
      <c r="F31" s="50">
        <f t="shared" si="5"/>
        <v>6351849.9056718349</v>
      </c>
      <c r="G31" s="50">
        <f t="shared" si="5"/>
        <v>6810298.7693783641</v>
      </c>
      <c r="H31" s="50">
        <f t="shared" si="5"/>
        <v>7269445.4947831035</v>
      </c>
      <c r="I31" s="50">
        <f t="shared" si="5"/>
        <v>7821414.1530596018</v>
      </c>
    </row>
    <row r="32" spans="1:9">
      <c r="A32" s="48"/>
      <c r="B32" s="44" t="s">
        <v>251</v>
      </c>
      <c r="C32" s="44"/>
      <c r="D32" s="51">
        <f t="shared" ref="D32:I32" si="6">C33</f>
        <v>4219949.7451943755</v>
      </c>
      <c r="E32" s="51">
        <f t="shared" si="6"/>
        <v>9792402.1406717896</v>
      </c>
      <c r="F32" s="51">
        <f t="shared" si="6"/>
        <v>15731506.302163243</v>
      </c>
      <c r="G32" s="51">
        <f t="shared" si="6"/>
        <v>22083356.207835078</v>
      </c>
      <c r="H32" s="51">
        <f t="shared" si="6"/>
        <v>28893654.977213442</v>
      </c>
      <c r="I32" s="51">
        <f t="shared" si="6"/>
        <v>36163100.471996546</v>
      </c>
    </row>
    <row r="33" spans="1:10">
      <c r="A33" s="40"/>
      <c r="B33" s="52" t="s">
        <v>252</v>
      </c>
      <c r="C33" s="50">
        <f t="shared" ref="C33:I33" si="7">C31+C32</f>
        <v>4219949.7451943755</v>
      </c>
      <c r="D33" s="50">
        <f t="shared" si="7"/>
        <v>9792402.1406717896</v>
      </c>
      <c r="E33" s="50">
        <f t="shared" si="7"/>
        <v>15731506.302163243</v>
      </c>
      <c r="F33" s="50">
        <f t="shared" si="7"/>
        <v>22083356.207835078</v>
      </c>
      <c r="G33" s="50">
        <f t="shared" si="7"/>
        <v>28893654.977213442</v>
      </c>
      <c r="H33" s="50">
        <f t="shared" si="7"/>
        <v>36163100.471996546</v>
      </c>
      <c r="I33" s="50">
        <f t="shared" si="7"/>
        <v>43984514.625056148</v>
      </c>
    </row>
    <row r="35" spans="1:10" ht="40" customHeight="1">
      <c r="A35" s="465" t="s">
        <v>421</v>
      </c>
      <c r="B35" s="465"/>
      <c r="C35" s="465"/>
      <c r="D35" s="465"/>
      <c r="E35" s="465"/>
      <c r="F35" s="465"/>
      <c r="G35" s="465"/>
      <c r="H35" s="465"/>
      <c r="I35" s="465"/>
      <c r="J35" s="465"/>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E6" sqref="E6"/>
    </sheetView>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417" t="s">
        <v>575</v>
      </c>
      <c r="B2" s="417"/>
      <c r="C2" s="417"/>
      <c r="D2" s="417"/>
      <c r="E2" s="417"/>
      <c r="F2" s="417"/>
      <c r="G2" s="447"/>
    </row>
    <row r="3" spans="1:7">
      <c r="B3" s="15"/>
      <c r="C3" s="15"/>
      <c r="D3" s="15"/>
      <c r="E3" s="15"/>
      <c r="F3" s="15"/>
      <c r="G3" s="15"/>
    </row>
    <row r="4" spans="1:7">
      <c r="A4" s="94"/>
      <c r="B4" s="94"/>
      <c r="C4" s="94" t="s">
        <v>477</v>
      </c>
      <c r="D4" s="112"/>
      <c r="E4" s="94"/>
      <c r="F4" s="94"/>
      <c r="G4" s="94"/>
    </row>
    <row r="5" spans="1:7">
      <c r="A5" s="94"/>
      <c r="B5" s="94"/>
      <c r="C5" s="94" t="s">
        <v>478</v>
      </c>
      <c r="D5" s="280">
        <v>0.12</v>
      </c>
      <c r="E5" s="94"/>
      <c r="F5" s="94"/>
      <c r="G5" s="94"/>
    </row>
    <row r="6" spans="1:7">
      <c r="A6" s="94"/>
      <c r="B6" s="94"/>
      <c r="C6" s="94" t="s">
        <v>479</v>
      </c>
      <c r="D6" s="281">
        <v>7</v>
      </c>
      <c r="E6" s="94"/>
      <c r="F6" s="94"/>
      <c r="G6" s="94"/>
    </row>
    <row r="7" spans="1:7">
      <c r="A7" s="94"/>
      <c r="B7" s="94"/>
      <c r="C7" s="94" t="s">
        <v>480</v>
      </c>
      <c r="D7" s="281">
        <v>6</v>
      </c>
      <c r="E7" s="94"/>
      <c r="F7" s="94"/>
      <c r="G7" s="94"/>
    </row>
    <row r="8" spans="1:7">
      <c r="A8" s="94"/>
      <c r="B8" s="94"/>
      <c r="C8" s="94" t="s">
        <v>22</v>
      </c>
      <c r="D8" s="211">
        <f>PMT(D5/12,(D6-(D7/12))*12,-D4)</f>
        <v>0</v>
      </c>
      <c r="E8" s="211"/>
      <c r="F8" s="269"/>
      <c r="G8" s="94"/>
    </row>
    <row r="9" spans="1:7">
      <c r="A9" s="148" t="s">
        <v>294</v>
      </c>
      <c r="B9" s="212" t="s">
        <v>18</v>
      </c>
      <c r="C9" s="213" t="s">
        <v>19</v>
      </c>
      <c r="D9" s="213" t="s">
        <v>20</v>
      </c>
      <c r="E9" s="213" t="s">
        <v>21</v>
      </c>
      <c r="F9" s="213" t="s">
        <v>22</v>
      </c>
      <c r="G9" s="213" t="s">
        <v>23</v>
      </c>
    </row>
    <row r="10" spans="1:7">
      <c r="A10" s="95" t="s">
        <v>11</v>
      </c>
      <c r="B10" s="95" t="s">
        <v>52</v>
      </c>
      <c r="C10" s="96">
        <f>D4</f>
        <v>0</v>
      </c>
      <c r="D10" s="96">
        <f t="shared" ref="D10:D41" si="0">C10*$D$5/12</f>
        <v>0</v>
      </c>
      <c r="E10" s="96">
        <f t="shared" ref="E10:E15" si="1">F10-D10</f>
        <v>0</v>
      </c>
      <c r="F10" s="96">
        <f>D10</f>
        <v>0</v>
      </c>
      <c r="G10" s="96">
        <f>C10-E10</f>
        <v>0</v>
      </c>
    </row>
    <row r="11" spans="1:7">
      <c r="A11" s="95"/>
      <c r="B11" s="95" t="s">
        <v>53</v>
      </c>
      <c r="C11" s="96">
        <f>G10</f>
        <v>0</v>
      </c>
      <c r="D11" s="96">
        <f t="shared" si="0"/>
        <v>0</v>
      </c>
      <c r="E11" s="96">
        <f t="shared" si="1"/>
        <v>0</v>
      </c>
      <c r="F11" s="96">
        <f t="shared" ref="F11:F15" si="2">D11</f>
        <v>0</v>
      </c>
      <c r="G11" s="96">
        <f t="shared" ref="G11:G74" si="3">C11-E11</f>
        <v>0</v>
      </c>
    </row>
    <row r="12" spans="1:7">
      <c r="A12" s="95"/>
      <c r="B12" s="95" t="s">
        <v>54</v>
      </c>
      <c r="C12" s="96">
        <f t="shared" ref="C12:C75" si="4">G11</f>
        <v>0</v>
      </c>
      <c r="D12" s="96">
        <f t="shared" si="0"/>
        <v>0</v>
      </c>
      <c r="E12" s="96">
        <f t="shared" si="1"/>
        <v>0</v>
      </c>
      <c r="F12" s="96">
        <f t="shared" si="2"/>
        <v>0</v>
      </c>
      <c r="G12" s="96">
        <f t="shared" si="3"/>
        <v>0</v>
      </c>
    </row>
    <row r="13" spans="1:7">
      <c r="A13" s="95"/>
      <c r="B13" s="95" t="s">
        <v>55</v>
      </c>
      <c r="C13" s="96">
        <f t="shared" si="4"/>
        <v>0</v>
      </c>
      <c r="D13" s="96">
        <f t="shared" si="0"/>
        <v>0</v>
      </c>
      <c r="E13" s="96">
        <f t="shared" si="1"/>
        <v>0</v>
      </c>
      <c r="F13" s="96">
        <f t="shared" si="2"/>
        <v>0</v>
      </c>
      <c r="G13" s="96">
        <f t="shared" si="3"/>
        <v>0</v>
      </c>
    </row>
    <row r="14" spans="1:7">
      <c r="A14" s="95"/>
      <c r="B14" s="95" t="s">
        <v>56</v>
      </c>
      <c r="C14" s="96">
        <f t="shared" si="4"/>
        <v>0</v>
      </c>
      <c r="D14" s="96">
        <f t="shared" si="0"/>
        <v>0</v>
      </c>
      <c r="E14" s="96">
        <f t="shared" si="1"/>
        <v>0</v>
      </c>
      <c r="F14" s="96">
        <f t="shared" si="2"/>
        <v>0</v>
      </c>
      <c r="G14" s="96">
        <f t="shared" si="3"/>
        <v>0</v>
      </c>
    </row>
    <row r="15" spans="1:7">
      <c r="A15" s="95"/>
      <c r="B15" s="95" t="s">
        <v>57</v>
      </c>
      <c r="C15" s="96">
        <f t="shared" si="4"/>
        <v>0</v>
      </c>
      <c r="D15" s="96">
        <f t="shared" si="0"/>
        <v>0</v>
      </c>
      <c r="E15" s="96">
        <f t="shared" si="1"/>
        <v>0</v>
      </c>
      <c r="F15" s="96">
        <f t="shared" si="2"/>
        <v>0</v>
      </c>
      <c r="G15" s="96">
        <f t="shared" si="3"/>
        <v>0</v>
      </c>
    </row>
    <row r="16" spans="1:7">
      <c r="A16" s="95"/>
      <c r="B16" s="95" t="s">
        <v>58</v>
      </c>
      <c r="C16" s="96">
        <f t="shared" si="4"/>
        <v>0</v>
      </c>
      <c r="D16" s="96">
        <f t="shared" si="0"/>
        <v>0</v>
      </c>
      <c r="E16" s="96">
        <f>F16-D16</f>
        <v>0</v>
      </c>
      <c r="F16" s="96">
        <f t="shared" ref="F16:F74" si="5">$D$8</f>
        <v>0</v>
      </c>
      <c r="G16" s="96">
        <f t="shared" si="3"/>
        <v>0</v>
      </c>
    </row>
    <row r="17" spans="1:9">
      <c r="A17" s="95"/>
      <c r="B17" s="95" t="s">
        <v>59</v>
      </c>
      <c r="C17" s="96">
        <f t="shared" si="4"/>
        <v>0</v>
      </c>
      <c r="D17" s="96">
        <f t="shared" si="0"/>
        <v>0</v>
      </c>
      <c r="E17" s="96">
        <f t="shared" ref="E17:E80" si="6">F17-D17</f>
        <v>0</v>
      </c>
      <c r="F17" s="96">
        <f t="shared" si="5"/>
        <v>0</v>
      </c>
      <c r="G17" s="96">
        <f t="shared" si="3"/>
        <v>0</v>
      </c>
    </row>
    <row r="18" spans="1:9">
      <c r="A18" s="95"/>
      <c r="B18" s="95" t="s">
        <v>60</v>
      </c>
      <c r="C18" s="96">
        <f t="shared" si="4"/>
        <v>0</v>
      </c>
      <c r="D18" s="96">
        <f t="shared" si="0"/>
        <v>0</v>
      </c>
      <c r="E18" s="96">
        <f t="shared" si="6"/>
        <v>0</v>
      </c>
      <c r="F18" s="96">
        <f t="shared" si="5"/>
        <v>0</v>
      </c>
      <c r="G18" s="96">
        <f t="shared" si="3"/>
        <v>0</v>
      </c>
    </row>
    <row r="19" spans="1:9">
      <c r="A19" s="95"/>
      <c r="B19" s="95" t="s">
        <v>61</v>
      </c>
      <c r="C19" s="96">
        <f t="shared" si="4"/>
        <v>0</v>
      </c>
      <c r="D19" s="96">
        <f t="shared" si="0"/>
        <v>0</v>
      </c>
      <c r="E19" s="96">
        <f t="shared" si="6"/>
        <v>0</v>
      </c>
      <c r="F19" s="96">
        <f t="shared" si="5"/>
        <v>0</v>
      </c>
      <c r="G19" s="96">
        <f t="shared" si="3"/>
        <v>0</v>
      </c>
    </row>
    <row r="20" spans="1:9">
      <c r="A20" s="95"/>
      <c r="B20" s="95" t="s">
        <v>62</v>
      </c>
      <c r="C20" s="96">
        <f t="shared" si="4"/>
        <v>0</v>
      </c>
      <c r="D20" s="96">
        <f t="shared" si="0"/>
        <v>0</v>
      </c>
      <c r="E20" s="96">
        <f t="shared" si="6"/>
        <v>0</v>
      </c>
      <c r="F20" s="96">
        <f t="shared" si="5"/>
        <v>0</v>
      </c>
      <c r="G20" s="96">
        <f t="shared" si="3"/>
        <v>0</v>
      </c>
    </row>
    <row r="21" spans="1:9">
      <c r="A21" s="95"/>
      <c r="B21" s="95" t="s">
        <v>63</v>
      </c>
      <c r="C21" s="96">
        <f t="shared" si="4"/>
        <v>0</v>
      </c>
      <c r="D21" s="96">
        <f t="shared" si="0"/>
        <v>0</v>
      </c>
      <c r="E21" s="96">
        <f t="shared" si="6"/>
        <v>0</v>
      </c>
      <c r="F21" s="96">
        <f t="shared" si="5"/>
        <v>0</v>
      </c>
      <c r="G21" s="96">
        <f t="shared" si="3"/>
        <v>0</v>
      </c>
      <c r="H21" s="1"/>
      <c r="I21" s="1"/>
    </row>
    <row r="22" spans="1:9">
      <c r="A22" s="95" t="s">
        <v>12</v>
      </c>
      <c r="B22" s="95" t="s">
        <v>64</v>
      </c>
      <c r="C22" s="96">
        <f t="shared" si="4"/>
        <v>0</v>
      </c>
      <c r="D22" s="96">
        <f t="shared" si="0"/>
        <v>0</v>
      </c>
      <c r="E22" s="96">
        <f t="shared" si="6"/>
        <v>0</v>
      </c>
      <c r="F22" s="96">
        <f t="shared" si="5"/>
        <v>0</v>
      </c>
      <c r="G22" s="96">
        <f t="shared" si="3"/>
        <v>0</v>
      </c>
    </row>
    <row r="23" spans="1:9">
      <c r="A23" s="95"/>
      <c r="B23" s="95" t="s">
        <v>65</v>
      </c>
      <c r="C23" s="96">
        <f t="shared" si="4"/>
        <v>0</v>
      </c>
      <c r="D23" s="96">
        <f t="shared" si="0"/>
        <v>0</v>
      </c>
      <c r="E23" s="96">
        <f t="shared" si="6"/>
        <v>0</v>
      </c>
      <c r="F23" s="96">
        <f t="shared" si="5"/>
        <v>0</v>
      </c>
      <c r="G23" s="96">
        <f t="shared" si="3"/>
        <v>0</v>
      </c>
    </row>
    <row r="24" spans="1:9">
      <c r="A24" s="95"/>
      <c r="B24" s="95" t="s">
        <v>66</v>
      </c>
      <c r="C24" s="96">
        <f t="shared" si="4"/>
        <v>0</v>
      </c>
      <c r="D24" s="96">
        <f t="shared" si="0"/>
        <v>0</v>
      </c>
      <c r="E24" s="96">
        <f t="shared" si="6"/>
        <v>0</v>
      </c>
      <c r="F24" s="96">
        <f t="shared" si="5"/>
        <v>0</v>
      </c>
      <c r="G24" s="96">
        <f t="shared" si="3"/>
        <v>0</v>
      </c>
    </row>
    <row r="25" spans="1:9">
      <c r="A25" s="95"/>
      <c r="B25" s="95" t="s">
        <v>67</v>
      </c>
      <c r="C25" s="96">
        <f t="shared" si="4"/>
        <v>0</v>
      </c>
      <c r="D25" s="96">
        <f t="shared" si="0"/>
        <v>0</v>
      </c>
      <c r="E25" s="96">
        <f t="shared" si="6"/>
        <v>0</v>
      </c>
      <c r="F25" s="96">
        <f t="shared" si="5"/>
        <v>0</v>
      </c>
      <c r="G25" s="96">
        <f t="shared" si="3"/>
        <v>0</v>
      </c>
    </row>
    <row r="26" spans="1:9">
      <c r="A26" s="95"/>
      <c r="B26" s="95" t="s">
        <v>68</v>
      </c>
      <c r="C26" s="96">
        <f t="shared" si="4"/>
        <v>0</v>
      </c>
      <c r="D26" s="96">
        <f t="shared" si="0"/>
        <v>0</v>
      </c>
      <c r="E26" s="96">
        <f t="shared" si="6"/>
        <v>0</v>
      </c>
      <c r="F26" s="96">
        <f t="shared" si="5"/>
        <v>0</v>
      </c>
      <c r="G26" s="96">
        <f t="shared" si="3"/>
        <v>0</v>
      </c>
    </row>
    <row r="27" spans="1:9">
      <c r="A27" s="95"/>
      <c r="B27" s="95" t="s">
        <v>69</v>
      </c>
      <c r="C27" s="96">
        <f t="shared" si="4"/>
        <v>0</v>
      </c>
      <c r="D27" s="96">
        <f t="shared" si="0"/>
        <v>0</v>
      </c>
      <c r="E27" s="96">
        <f t="shared" si="6"/>
        <v>0</v>
      </c>
      <c r="F27" s="96">
        <f t="shared" si="5"/>
        <v>0</v>
      </c>
      <c r="G27" s="96">
        <f t="shared" si="3"/>
        <v>0</v>
      </c>
    </row>
    <row r="28" spans="1:9">
      <c r="A28" s="95"/>
      <c r="B28" s="95" t="s">
        <v>70</v>
      </c>
      <c r="C28" s="96">
        <f t="shared" si="4"/>
        <v>0</v>
      </c>
      <c r="D28" s="96">
        <f t="shared" si="0"/>
        <v>0</v>
      </c>
      <c r="E28" s="96">
        <f t="shared" si="6"/>
        <v>0</v>
      </c>
      <c r="F28" s="96">
        <f t="shared" si="5"/>
        <v>0</v>
      </c>
      <c r="G28" s="96">
        <f t="shared" si="3"/>
        <v>0</v>
      </c>
    </row>
    <row r="29" spans="1:9">
      <c r="A29" s="95"/>
      <c r="B29" s="95" t="s">
        <v>71</v>
      </c>
      <c r="C29" s="96">
        <f t="shared" si="4"/>
        <v>0</v>
      </c>
      <c r="D29" s="96">
        <f t="shared" si="0"/>
        <v>0</v>
      </c>
      <c r="E29" s="96">
        <f t="shared" si="6"/>
        <v>0</v>
      </c>
      <c r="F29" s="96">
        <f t="shared" si="5"/>
        <v>0</v>
      </c>
      <c r="G29" s="96">
        <f t="shared" si="3"/>
        <v>0</v>
      </c>
    </row>
    <row r="30" spans="1:9">
      <c r="A30" s="95"/>
      <c r="B30" s="95" t="s">
        <v>72</v>
      </c>
      <c r="C30" s="96">
        <f t="shared" si="4"/>
        <v>0</v>
      </c>
      <c r="D30" s="96">
        <f t="shared" si="0"/>
        <v>0</v>
      </c>
      <c r="E30" s="96">
        <f t="shared" si="6"/>
        <v>0</v>
      </c>
      <c r="F30" s="96">
        <f t="shared" si="5"/>
        <v>0</v>
      </c>
      <c r="G30" s="96">
        <f t="shared" si="3"/>
        <v>0</v>
      </c>
    </row>
    <row r="31" spans="1:9">
      <c r="A31" s="95"/>
      <c r="B31" s="95" t="s">
        <v>73</v>
      </c>
      <c r="C31" s="96">
        <f t="shared" si="4"/>
        <v>0</v>
      </c>
      <c r="D31" s="96">
        <f t="shared" si="0"/>
        <v>0</v>
      </c>
      <c r="E31" s="96">
        <f t="shared" si="6"/>
        <v>0</v>
      </c>
      <c r="F31" s="96">
        <f t="shared" si="5"/>
        <v>0</v>
      </c>
      <c r="G31" s="96">
        <f t="shared" si="3"/>
        <v>0</v>
      </c>
    </row>
    <row r="32" spans="1:9">
      <c r="A32" s="95"/>
      <c r="B32" s="95" t="s">
        <v>74</v>
      </c>
      <c r="C32" s="96">
        <f t="shared" si="4"/>
        <v>0</v>
      </c>
      <c r="D32" s="96">
        <f t="shared" si="0"/>
        <v>0</v>
      </c>
      <c r="E32" s="96">
        <f t="shared" si="6"/>
        <v>0</v>
      </c>
      <c r="F32" s="96">
        <f t="shared" si="5"/>
        <v>0</v>
      </c>
      <c r="G32" s="96">
        <f t="shared" si="3"/>
        <v>0</v>
      </c>
    </row>
    <row r="33" spans="1:9">
      <c r="A33" s="95"/>
      <c r="B33" s="95" t="s">
        <v>75</v>
      </c>
      <c r="C33" s="96">
        <f t="shared" si="4"/>
        <v>0</v>
      </c>
      <c r="D33" s="96">
        <f t="shared" si="0"/>
        <v>0</v>
      </c>
      <c r="E33" s="96">
        <f t="shared" si="6"/>
        <v>0</v>
      </c>
      <c r="F33" s="96">
        <f t="shared" si="5"/>
        <v>0</v>
      </c>
      <c r="G33" s="96">
        <f t="shared" si="3"/>
        <v>0</v>
      </c>
      <c r="H33" s="1"/>
      <c r="I33" s="1"/>
    </row>
    <row r="34" spans="1:9">
      <c r="A34" s="95" t="s">
        <v>13</v>
      </c>
      <c r="B34" s="95" t="s">
        <v>76</v>
      </c>
      <c r="C34" s="96">
        <f t="shared" si="4"/>
        <v>0</v>
      </c>
      <c r="D34" s="96">
        <f t="shared" si="0"/>
        <v>0</v>
      </c>
      <c r="E34" s="96">
        <f t="shared" si="6"/>
        <v>0</v>
      </c>
      <c r="F34" s="96">
        <f t="shared" si="5"/>
        <v>0</v>
      </c>
      <c r="G34" s="96">
        <f t="shared" si="3"/>
        <v>0</v>
      </c>
    </row>
    <row r="35" spans="1:9">
      <c r="A35" s="95"/>
      <c r="B35" s="95" t="s">
        <v>77</v>
      </c>
      <c r="C35" s="96">
        <f t="shared" si="4"/>
        <v>0</v>
      </c>
      <c r="D35" s="96">
        <f t="shared" si="0"/>
        <v>0</v>
      </c>
      <c r="E35" s="96">
        <f t="shared" si="6"/>
        <v>0</v>
      </c>
      <c r="F35" s="96">
        <f t="shared" si="5"/>
        <v>0</v>
      </c>
      <c r="G35" s="96">
        <f t="shared" si="3"/>
        <v>0</v>
      </c>
    </row>
    <row r="36" spans="1:9">
      <c r="A36" s="95"/>
      <c r="B36" s="95" t="s">
        <v>78</v>
      </c>
      <c r="C36" s="96">
        <f t="shared" si="4"/>
        <v>0</v>
      </c>
      <c r="D36" s="96">
        <f t="shared" si="0"/>
        <v>0</v>
      </c>
      <c r="E36" s="96">
        <f t="shared" si="6"/>
        <v>0</v>
      </c>
      <c r="F36" s="96">
        <f t="shared" si="5"/>
        <v>0</v>
      </c>
      <c r="G36" s="96">
        <f t="shared" si="3"/>
        <v>0</v>
      </c>
    </row>
    <row r="37" spans="1:9">
      <c r="A37" s="95"/>
      <c r="B37" s="95" t="s">
        <v>79</v>
      </c>
      <c r="C37" s="96">
        <f t="shared" si="4"/>
        <v>0</v>
      </c>
      <c r="D37" s="96">
        <f t="shared" si="0"/>
        <v>0</v>
      </c>
      <c r="E37" s="96">
        <f t="shared" si="6"/>
        <v>0</v>
      </c>
      <c r="F37" s="96">
        <f t="shared" si="5"/>
        <v>0</v>
      </c>
      <c r="G37" s="96">
        <f t="shared" si="3"/>
        <v>0</v>
      </c>
    </row>
    <row r="38" spans="1:9">
      <c r="A38" s="95"/>
      <c r="B38" s="95" t="s">
        <v>80</v>
      </c>
      <c r="C38" s="96">
        <f t="shared" si="4"/>
        <v>0</v>
      </c>
      <c r="D38" s="96">
        <f t="shared" si="0"/>
        <v>0</v>
      </c>
      <c r="E38" s="96">
        <f t="shared" si="6"/>
        <v>0</v>
      </c>
      <c r="F38" s="96">
        <f t="shared" si="5"/>
        <v>0</v>
      </c>
      <c r="G38" s="96">
        <f t="shared" si="3"/>
        <v>0</v>
      </c>
    </row>
    <row r="39" spans="1:9">
      <c r="A39" s="95"/>
      <c r="B39" s="95" t="s">
        <v>81</v>
      </c>
      <c r="C39" s="96">
        <f t="shared" si="4"/>
        <v>0</v>
      </c>
      <c r="D39" s="96">
        <f t="shared" si="0"/>
        <v>0</v>
      </c>
      <c r="E39" s="96">
        <f t="shared" si="6"/>
        <v>0</v>
      </c>
      <c r="F39" s="96">
        <f t="shared" si="5"/>
        <v>0</v>
      </c>
      <c r="G39" s="96">
        <f t="shared" si="3"/>
        <v>0</v>
      </c>
    </row>
    <row r="40" spans="1:9">
      <c r="A40" s="95"/>
      <c r="B40" s="95" t="s">
        <v>82</v>
      </c>
      <c r="C40" s="96">
        <f t="shared" si="4"/>
        <v>0</v>
      </c>
      <c r="D40" s="96">
        <f t="shared" si="0"/>
        <v>0</v>
      </c>
      <c r="E40" s="96">
        <f t="shared" si="6"/>
        <v>0</v>
      </c>
      <c r="F40" s="96">
        <f t="shared" si="5"/>
        <v>0</v>
      </c>
      <c r="G40" s="96">
        <f t="shared" si="3"/>
        <v>0</v>
      </c>
    </row>
    <row r="41" spans="1:9">
      <c r="A41" s="95"/>
      <c r="B41" s="95" t="s">
        <v>83</v>
      </c>
      <c r="C41" s="96">
        <f t="shared" si="4"/>
        <v>0</v>
      </c>
      <c r="D41" s="96">
        <f t="shared" si="0"/>
        <v>0</v>
      </c>
      <c r="E41" s="96">
        <f t="shared" si="6"/>
        <v>0</v>
      </c>
      <c r="F41" s="96">
        <f t="shared" si="5"/>
        <v>0</v>
      </c>
      <c r="G41" s="96">
        <f t="shared" si="3"/>
        <v>0</v>
      </c>
    </row>
    <row r="42" spans="1:9">
      <c r="A42" s="95"/>
      <c r="B42" s="95" t="s">
        <v>84</v>
      </c>
      <c r="C42" s="96">
        <f t="shared" si="4"/>
        <v>0</v>
      </c>
      <c r="D42" s="96">
        <f t="shared" ref="D42:D73" si="7">C42*$D$5/12</f>
        <v>0</v>
      </c>
      <c r="E42" s="96">
        <f t="shared" si="6"/>
        <v>0</v>
      </c>
      <c r="F42" s="96">
        <f t="shared" si="5"/>
        <v>0</v>
      </c>
      <c r="G42" s="96">
        <f t="shared" si="3"/>
        <v>0</v>
      </c>
    </row>
    <row r="43" spans="1:9">
      <c r="A43" s="95"/>
      <c r="B43" s="95" t="s">
        <v>85</v>
      </c>
      <c r="C43" s="96">
        <f t="shared" si="4"/>
        <v>0</v>
      </c>
      <c r="D43" s="96">
        <f t="shared" si="7"/>
        <v>0</v>
      </c>
      <c r="E43" s="96">
        <f t="shared" si="6"/>
        <v>0</v>
      </c>
      <c r="F43" s="96">
        <f t="shared" si="5"/>
        <v>0</v>
      </c>
      <c r="G43" s="96">
        <f t="shared" si="3"/>
        <v>0</v>
      </c>
    </row>
    <row r="44" spans="1:9">
      <c r="A44" s="95"/>
      <c r="B44" s="95" t="s">
        <v>86</v>
      </c>
      <c r="C44" s="96">
        <f t="shared" si="4"/>
        <v>0</v>
      </c>
      <c r="D44" s="96">
        <f t="shared" si="7"/>
        <v>0</v>
      </c>
      <c r="E44" s="96">
        <f t="shared" si="6"/>
        <v>0</v>
      </c>
      <c r="F44" s="96">
        <f t="shared" si="5"/>
        <v>0</v>
      </c>
      <c r="G44" s="96">
        <f t="shared" si="3"/>
        <v>0</v>
      </c>
    </row>
    <row r="45" spans="1:9">
      <c r="A45" s="95"/>
      <c r="B45" s="95" t="s">
        <v>87</v>
      </c>
      <c r="C45" s="96">
        <f t="shared" si="4"/>
        <v>0</v>
      </c>
      <c r="D45" s="96">
        <f t="shared" si="7"/>
        <v>0</v>
      </c>
      <c r="E45" s="96">
        <f t="shared" si="6"/>
        <v>0</v>
      </c>
      <c r="F45" s="96">
        <f t="shared" si="5"/>
        <v>0</v>
      </c>
      <c r="G45" s="96">
        <f t="shared" si="3"/>
        <v>0</v>
      </c>
      <c r="H45" s="1"/>
      <c r="I45" s="1"/>
    </row>
    <row r="46" spans="1:9">
      <c r="A46" s="95" t="s">
        <v>14</v>
      </c>
      <c r="B46" s="95" t="s">
        <v>88</v>
      </c>
      <c r="C46" s="96">
        <f t="shared" si="4"/>
        <v>0</v>
      </c>
      <c r="D46" s="96">
        <f t="shared" si="7"/>
        <v>0</v>
      </c>
      <c r="E46" s="96">
        <f t="shared" si="6"/>
        <v>0</v>
      </c>
      <c r="F46" s="96">
        <f t="shared" si="5"/>
        <v>0</v>
      </c>
      <c r="G46" s="96">
        <f t="shared" si="3"/>
        <v>0</v>
      </c>
    </row>
    <row r="47" spans="1:9">
      <c r="A47" s="95"/>
      <c r="B47" s="95" t="s">
        <v>89</v>
      </c>
      <c r="C47" s="96">
        <f t="shared" si="4"/>
        <v>0</v>
      </c>
      <c r="D47" s="96">
        <f t="shared" si="7"/>
        <v>0</v>
      </c>
      <c r="E47" s="96">
        <f t="shared" si="6"/>
        <v>0</v>
      </c>
      <c r="F47" s="96">
        <f t="shared" si="5"/>
        <v>0</v>
      </c>
      <c r="G47" s="96">
        <f t="shared" si="3"/>
        <v>0</v>
      </c>
    </row>
    <row r="48" spans="1:9">
      <c r="A48" s="95"/>
      <c r="B48" s="95" t="s">
        <v>90</v>
      </c>
      <c r="C48" s="96">
        <f t="shared" si="4"/>
        <v>0</v>
      </c>
      <c r="D48" s="96">
        <f t="shared" si="7"/>
        <v>0</v>
      </c>
      <c r="E48" s="96">
        <f t="shared" si="6"/>
        <v>0</v>
      </c>
      <c r="F48" s="96">
        <f t="shared" si="5"/>
        <v>0</v>
      </c>
      <c r="G48" s="96">
        <f t="shared" si="3"/>
        <v>0</v>
      </c>
    </row>
    <row r="49" spans="1:9">
      <c r="A49" s="95"/>
      <c r="B49" s="95" t="s">
        <v>91</v>
      </c>
      <c r="C49" s="96">
        <f t="shared" si="4"/>
        <v>0</v>
      </c>
      <c r="D49" s="96">
        <f t="shared" si="7"/>
        <v>0</v>
      </c>
      <c r="E49" s="96">
        <f t="shared" si="6"/>
        <v>0</v>
      </c>
      <c r="F49" s="96">
        <f t="shared" si="5"/>
        <v>0</v>
      </c>
      <c r="G49" s="96">
        <f t="shared" si="3"/>
        <v>0</v>
      </c>
    </row>
    <row r="50" spans="1:9">
      <c r="A50" s="95"/>
      <c r="B50" s="95" t="s">
        <v>92</v>
      </c>
      <c r="C50" s="96">
        <f t="shared" si="4"/>
        <v>0</v>
      </c>
      <c r="D50" s="96">
        <f t="shared" si="7"/>
        <v>0</v>
      </c>
      <c r="E50" s="96">
        <f t="shared" si="6"/>
        <v>0</v>
      </c>
      <c r="F50" s="96">
        <f t="shared" si="5"/>
        <v>0</v>
      </c>
      <c r="G50" s="96">
        <f t="shared" si="3"/>
        <v>0</v>
      </c>
    </row>
    <row r="51" spans="1:9">
      <c r="A51" s="95"/>
      <c r="B51" s="95" t="s">
        <v>93</v>
      </c>
      <c r="C51" s="96">
        <f t="shared" si="4"/>
        <v>0</v>
      </c>
      <c r="D51" s="96">
        <f t="shared" si="7"/>
        <v>0</v>
      </c>
      <c r="E51" s="96">
        <f t="shared" si="6"/>
        <v>0</v>
      </c>
      <c r="F51" s="96">
        <f t="shared" si="5"/>
        <v>0</v>
      </c>
      <c r="G51" s="96">
        <f t="shared" si="3"/>
        <v>0</v>
      </c>
    </row>
    <row r="52" spans="1:9">
      <c r="A52" s="95"/>
      <c r="B52" s="95" t="s">
        <v>94</v>
      </c>
      <c r="C52" s="96">
        <f t="shared" si="4"/>
        <v>0</v>
      </c>
      <c r="D52" s="96">
        <f t="shared" si="7"/>
        <v>0</v>
      </c>
      <c r="E52" s="96">
        <f t="shared" si="6"/>
        <v>0</v>
      </c>
      <c r="F52" s="96">
        <f t="shared" si="5"/>
        <v>0</v>
      </c>
      <c r="G52" s="96">
        <f t="shared" si="3"/>
        <v>0</v>
      </c>
    </row>
    <row r="53" spans="1:9">
      <c r="A53" s="95"/>
      <c r="B53" s="95" t="s">
        <v>95</v>
      </c>
      <c r="C53" s="96">
        <f t="shared" si="4"/>
        <v>0</v>
      </c>
      <c r="D53" s="96">
        <f t="shared" si="7"/>
        <v>0</v>
      </c>
      <c r="E53" s="96">
        <f t="shared" si="6"/>
        <v>0</v>
      </c>
      <c r="F53" s="96">
        <f t="shared" si="5"/>
        <v>0</v>
      </c>
      <c r="G53" s="96">
        <f t="shared" si="3"/>
        <v>0</v>
      </c>
    </row>
    <row r="54" spans="1:9">
      <c r="A54" s="95"/>
      <c r="B54" s="95" t="s">
        <v>96</v>
      </c>
      <c r="C54" s="96">
        <f t="shared" si="4"/>
        <v>0</v>
      </c>
      <c r="D54" s="96">
        <f t="shared" si="7"/>
        <v>0</v>
      </c>
      <c r="E54" s="96">
        <f t="shared" si="6"/>
        <v>0</v>
      </c>
      <c r="F54" s="96">
        <f t="shared" si="5"/>
        <v>0</v>
      </c>
      <c r="G54" s="96">
        <f t="shared" si="3"/>
        <v>0</v>
      </c>
    </row>
    <row r="55" spans="1:9">
      <c r="A55" s="95"/>
      <c r="B55" s="95" t="s">
        <v>97</v>
      </c>
      <c r="C55" s="96">
        <f t="shared" si="4"/>
        <v>0</v>
      </c>
      <c r="D55" s="96">
        <f t="shared" si="7"/>
        <v>0</v>
      </c>
      <c r="E55" s="96">
        <f t="shared" si="6"/>
        <v>0</v>
      </c>
      <c r="F55" s="96">
        <f t="shared" si="5"/>
        <v>0</v>
      </c>
      <c r="G55" s="96">
        <f t="shared" si="3"/>
        <v>0</v>
      </c>
    </row>
    <row r="56" spans="1:9">
      <c r="A56" s="95"/>
      <c r="B56" s="95" t="s">
        <v>98</v>
      </c>
      <c r="C56" s="96">
        <f t="shared" si="4"/>
        <v>0</v>
      </c>
      <c r="D56" s="96">
        <f t="shared" si="7"/>
        <v>0</v>
      </c>
      <c r="E56" s="96">
        <f t="shared" si="6"/>
        <v>0</v>
      </c>
      <c r="F56" s="96">
        <f t="shared" si="5"/>
        <v>0</v>
      </c>
      <c r="G56" s="96">
        <f t="shared" si="3"/>
        <v>0</v>
      </c>
    </row>
    <row r="57" spans="1:9">
      <c r="A57" s="95"/>
      <c r="B57" s="95" t="s">
        <v>99</v>
      </c>
      <c r="C57" s="96">
        <f t="shared" si="4"/>
        <v>0</v>
      </c>
      <c r="D57" s="96">
        <f t="shared" si="7"/>
        <v>0</v>
      </c>
      <c r="E57" s="96">
        <f t="shared" si="6"/>
        <v>0</v>
      </c>
      <c r="F57" s="96">
        <f t="shared" si="5"/>
        <v>0</v>
      </c>
      <c r="G57" s="96">
        <f t="shared" si="3"/>
        <v>0</v>
      </c>
      <c r="H57" s="1"/>
      <c r="I57" s="1"/>
    </row>
    <row r="58" spans="1:9">
      <c r="A58" s="95" t="s">
        <v>15</v>
      </c>
      <c r="B58" s="95" t="s">
        <v>100</v>
      </c>
      <c r="C58" s="96">
        <f t="shared" si="4"/>
        <v>0</v>
      </c>
      <c r="D58" s="96">
        <f t="shared" si="7"/>
        <v>0</v>
      </c>
      <c r="E58" s="96">
        <f t="shared" si="6"/>
        <v>0</v>
      </c>
      <c r="F58" s="96">
        <f t="shared" si="5"/>
        <v>0</v>
      </c>
      <c r="G58" s="96">
        <f t="shared" si="3"/>
        <v>0</v>
      </c>
    </row>
    <row r="59" spans="1:9">
      <c r="A59" s="95"/>
      <c r="B59" s="95" t="s">
        <v>101</v>
      </c>
      <c r="C59" s="96">
        <f t="shared" si="4"/>
        <v>0</v>
      </c>
      <c r="D59" s="96">
        <f t="shared" si="7"/>
        <v>0</v>
      </c>
      <c r="E59" s="96">
        <f t="shared" si="6"/>
        <v>0</v>
      </c>
      <c r="F59" s="96">
        <f t="shared" si="5"/>
        <v>0</v>
      </c>
      <c r="G59" s="96">
        <f t="shared" si="3"/>
        <v>0</v>
      </c>
    </row>
    <row r="60" spans="1:9">
      <c r="A60" s="95"/>
      <c r="B60" s="95" t="s">
        <v>102</v>
      </c>
      <c r="C60" s="96">
        <f t="shared" si="4"/>
        <v>0</v>
      </c>
      <c r="D60" s="96">
        <f t="shared" si="7"/>
        <v>0</v>
      </c>
      <c r="E60" s="96">
        <f t="shared" si="6"/>
        <v>0</v>
      </c>
      <c r="F60" s="96">
        <f t="shared" si="5"/>
        <v>0</v>
      </c>
      <c r="G60" s="96">
        <f t="shared" si="3"/>
        <v>0</v>
      </c>
    </row>
    <row r="61" spans="1:9">
      <c r="A61" s="95"/>
      <c r="B61" s="95" t="s">
        <v>103</v>
      </c>
      <c r="C61" s="96">
        <f t="shared" si="4"/>
        <v>0</v>
      </c>
      <c r="D61" s="96">
        <f t="shared" si="7"/>
        <v>0</v>
      </c>
      <c r="E61" s="96">
        <f t="shared" si="6"/>
        <v>0</v>
      </c>
      <c r="F61" s="96">
        <f t="shared" si="5"/>
        <v>0</v>
      </c>
      <c r="G61" s="96">
        <f t="shared" si="3"/>
        <v>0</v>
      </c>
    </row>
    <row r="62" spans="1:9">
      <c r="A62" s="95"/>
      <c r="B62" s="95" t="s">
        <v>104</v>
      </c>
      <c r="C62" s="96">
        <f t="shared" si="4"/>
        <v>0</v>
      </c>
      <c r="D62" s="96">
        <f t="shared" si="7"/>
        <v>0</v>
      </c>
      <c r="E62" s="96">
        <f t="shared" si="6"/>
        <v>0</v>
      </c>
      <c r="F62" s="96">
        <f t="shared" si="5"/>
        <v>0</v>
      </c>
      <c r="G62" s="96">
        <f t="shared" si="3"/>
        <v>0</v>
      </c>
    </row>
    <row r="63" spans="1:9">
      <c r="A63" s="95"/>
      <c r="B63" s="95" t="s">
        <v>105</v>
      </c>
      <c r="C63" s="96">
        <f t="shared" si="4"/>
        <v>0</v>
      </c>
      <c r="D63" s="96">
        <f t="shared" si="7"/>
        <v>0</v>
      </c>
      <c r="E63" s="96">
        <f t="shared" si="6"/>
        <v>0</v>
      </c>
      <c r="F63" s="96">
        <f t="shared" si="5"/>
        <v>0</v>
      </c>
      <c r="G63" s="96">
        <f t="shared" si="3"/>
        <v>0</v>
      </c>
    </row>
    <row r="64" spans="1:9">
      <c r="A64" s="95"/>
      <c r="B64" s="95" t="s">
        <v>106</v>
      </c>
      <c r="C64" s="96">
        <f t="shared" si="4"/>
        <v>0</v>
      </c>
      <c r="D64" s="96">
        <f t="shared" si="7"/>
        <v>0</v>
      </c>
      <c r="E64" s="96">
        <f t="shared" si="6"/>
        <v>0</v>
      </c>
      <c r="F64" s="96">
        <f t="shared" si="5"/>
        <v>0</v>
      </c>
      <c r="G64" s="96">
        <f t="shared" si="3"/>
        <v>0</v>
      </c>
    </row>
    <row r="65" spans="1:9">
      <c r="A65" s="95"/>
      <c r="B65" s="95" t="s">
        <v>107</v>
      </c>
      <c r="C65" s="96">
        <f t="shared" si="4"/>
        <v>0</v>
      </c>
      <c r="D65" s="96">
        <f t="shared" si="7"/>
        <v>0</v>
      </c>
      <c r="E65" s="96">
        <f t="shared" si="6"/>
        <v>0</v>
      </c>
      <c r="F65" s="96">
        <f t="shared" si="5"/>
        <v>0</v>
      </c>
      <c r="G65" s="96">
        <f t="shared" si="3"/>
        <v>0</v>
      </c>
    </row>
    <row r="66" spans="1:9">
      <c r="A66" s="95"/>
      <c r="B66" s="95" t="s">
        <v>108</v>
      </c>
      <c r="C66" s="96">
        <f t="shared" si="4"/>
        <v>0</v>
      </c>
      <c r="D66" s="96">
        <f t="shared" si="7"/>
        <v>0</v>
      </c>
      <c r="E66" s="96">
        <f t="shared" si="6"/>
        <v>0</v>
      </c>
      <c r="F66" s="96">
        <f t="shared" si="5"/>
        <v>0</v>
      </c>
      <c r="G66" s="96">
        <f t="shared" si="3"/>
        <v>0</v>
      </c>
    </row>
    <row r="67" spans="1:9">
      <c r="A67" s="95"/>
      <c r="B67" s="95" t="s">
        <v>109</v>
      </c>
      <c r="C67" s="96">
        <f t="shared" si="4"/>
        <v>0</v>
      </c>
      <c r="D67" s="96">
        <f t="shared" si="7"/>
        <v>0</v>
      </c>
      <c r="E67" s="96">
        <f t="shared" si="6"/>
        <v>0</v>
      </c>
      <c r="F67" s="96">
        <f t="shared" si="5"/>
        <v>0</v>
      </c>
      <c r="G67" s="96">
        <f t="shared" si="3"/>
        <v>0</v>
      </c>
    </row>
    <row r="68" spans="1:9">
      <c r="A68" s="95"/>
      <c r="B68" s="95" t="s">
        <v>110</v>
      </c>
      <c r="C68" s="96">
        <f t="shared" si="4"/>
        <v>0</v>
      </c>
      <c r="D68" s="96">
        <f t="shared" si="7"/>
        <v>0</v>
      </c>
      <c r="E68" s="96">
        <f t="shared" si="6"/>
        <v>0</v>
      </c>
      <c r="F68" s="96">
        <f t="shared" si="5"/>
        <v>0</v>
      </c>
      <c r="G68" s="96">
        <f t="shared" si="3"/>
        <v>0</v>
      </c>
    </row>
    <row r="69" spans="1:9">
      <c r="A69" s="95"/>
      <c r="B69" s="95" t="s">
        <v>111</v>
      </c>
      <c r="C69" s="96">
        <f t="shared" si="4"/>
        <v>0</v>
      </c>
      <c r="D69" s="96">
        <f t="shared" si="7"/>
        <v>0</v>
      </c>
      <c r="E69" s="96">
        <f t="shared" si="6"/>
        <v>0</v>
      </c>
      <c r="F69" s="96">
        <f t="shared" si="5"/>
        <v>0</v>
      </c>
      <c r="G69" s="96">
        <f t="shared" si="3"/>
        <v>0</v>
      </c>
      <c r="H69" s="1"/>
      <c r="I69" s="1"/>
    </row>
    <row r="70" spans="1:9">
      <c r="A70" s="95" t="s">
        <v>16</v>
      </c>
      <c r="B70" s="95" t="s">
        <v>112</v>
      </c>
      <c r="C70" s="96">
        <f t="shared" si="4"/>
        <v>0</v>
      </c>
      <c r="D70" s="96">
        <f t="shared" si="7"/>
        <v>0</v>
      </c>
      <c r="E70" s="96">
        <f t="shared" si="6"/>
        <v>0</v>
      </c>
      <c r="F70" s="96">
        <f t="shared" si="5"/>
        <v>0</v>
      </c>
      <c r="G70" s="96">
        <f t="shared" si="3"/>
        <v>0</v>
      </c>
    </row>
    <row r="71" spans="1:9">
      <c r="A71" s="95"/>
      <c r="B71" s="95" t="s">
        <v>113</v>
      </c>
      <c r="C71" s="96">
        <f t="shared" si="4"/>
        <v>0</v>
      </c>
      <c r="D71" s="96">
        <f t="shared" si="7"/>
        <v>0</v>
      </c>
      <c r="E71" s="96">
        <f t="shared" si="6"/>
        <v>0</v>
      </c>
      <c r="F71" s="96">
        <f t="shared" si="5"/>
        <v>0</v>
      </c>
      <c r="G71" s="96">
        <f t="shared" si="3"/>
        <v>0</v>
      </c>
    </row>
    <row r="72" spans="1:9">
      <c r="A72" s="95"/>
      <c r="B72" s="95" t="s">
        <v>114</v>
      </c>
      <c r="C72" s="96">
        <f t="shared" si="4"/>
        <v>0</v>
      </c>
      <c r="D72" s="96">
        <f t="shared" si="7"/>
        <v>0</v>
      </c>
      <c r="E72" s="96">
        <f t="shared" si="6"/>
        <v>0</v>
      </c>
      <c r="F72" s="96">
        <f t="shared" si="5"/>
        <v>0</v>
      </c>
      <c r="G72" s="96">
        <f t="shared" si="3"/>
        <v>0</v>
      </c>
    </row>
    <row r="73" spans="1:9">
      <c r="A73" s="95"/>
      <c r="B73" s="95" t="s">
        <v>115</v>
      </c>
      <c r="C73" s="96">
        <f t="shared" si="4"/>
        <v>0</v>
      </c>
      <c r="D73" s="96">
        <f t="shared" si="7"/>
        <v>0</v>
      </c>
      <c r="E73" s="96">
        <f t="shared" si="6"/>
        <v>0</v>
      </c>
      <c r="F73" s="96">
        <f t="shared" si="5"/>
        <v>0</v>
      </c>
      <c r="G73" s="96">
        <f t="shared" si="3"/>
        <v>0</v>
      </c>
    </row>
    <row r="74" spans="1:9">
      <c r="A74" s="95"/>
      <c r="B74" s="95" t="s">
        <v>116</v>
      </c>
      <c r="C74" s="96">
        <f t="shared" si="4"/>
        <v>0</v>
      </c>
      <c r="D74" s="96">
        <f t="shared" ref="D74:D93" si="8">C74*$D$5/12</f>
        <v>0</v>
      </c>
      <c r="E74" s="96">
        <f t="shared" si="6"/>
        <v>0</v>
      </c>
      <c r="F74" s="96">
        <f t="shared" si="5"/>
        <v>0</v>
      </c>
      <c r="G74" s="96">
        <f t="shared" si="3"/>
        <v>0</v>
      </c>
    </row>
    <row r="75" spans="1:9">
      <c r="A75" s="95"/>
      <c r="B75" s="95" t="s">
        <v>117</v>
      </c>
      <c r="C75" s="96">
        <f t="shared" si="4"/>
        <v>0</v>
      </c>
      <c r="D75" s="96">
        <f t="shared" si="8"/>
        <v>0</v>
      </c>
      <c r="E75" s="96">
        <f t="shared" si="6"/>
        <v>0</v>
      </c>
      <c r="F75" s="96">
        <f t="shared" ref="F75:F93" si="9">$D$8</f>
        <v>0</v>
      </c>
      <c r="G75" s="96">
        <f t="shared" ref="G75:G93" si="10">C75-E75</f>
        <v>0</v>
      </c>
    </row>
    <row r="76" spans="1:9">
      <c r="A76" s="95"/>
      <c r="B76" s="95" t="s">
        <v>118</v>
      </c>
      <c r="C76" s="96">
        <f t="shared" ref="C76:C93" si="11">G75</f>
        <v>0</v>
      </c>
      <c r="D76" s="96">
        <f t="shared" si="8"/>
        <v>0</v>
      </c>
      <c r="E76" s="96">
        <f t="shared" si="6"/>
        <v>0</v>
      </c>
      <c r="F76" s="96">
        <f t="shared" si="9"/>
        <v>0</v>
      </c>
      <c r="G76" s="96">
        <f t="shared" si="10"/>
        <v>0</v>
      </c>
    </row>
    <row r="77" spans="1:9">
      <c r="A77" s="95"/>
      <c r="B77" s="95" t="s">
        <v>119</v>
      </c>
      <c r="C77" s="96">
        <f t="shared" si="11"/>
        <v>0</v>
      </c>
      <c r="D77" s="96">
        <f t="shared" si="8"/>
        <v>0</v>
      </c>
      <c r="E77" s="96">
        <f t="shared" si="6"/>
        <v>0</v>
      </c>
      <c r="F77" s="96">
        <f t="shared" si="9"/>
        <v>0</v>
      </c>
      <c r="G77" s="96">
        <f t="shared" si="10"/>
        <v>0</v>
      </c>
    </row>
    <row r="78" spans="1:9">
      <c r="A78" s="95"/>
      <c r="B78" s="95" t="s">
        <v>120</v>
      </c>
      <c r="C78" s="96">
        <f t="shared" si="11"/>
        <v>0</v>
      </c>
      <c r="D78" s="96">
        <f t="shared" si="8"/>
        <v>0</v>
      </c>
      <c r="E78" s="96">
        <f t="shared" si="6"/>
        <v>0</v>
      </c>
      <c r="F78" s="96">
        <f t="shared" si="9"/>
        <v>0</v>
      </c>
      <c r="G78" s="96">
        <f t="shared" si="10"/>
        <v>0</v>
      </c>
    </row>
    <row r="79" spans="1:9">
      <c r="A79" s="95"/>
      <c r="B79" s="95" t="s">
        <v>121</v>
      </c>
      <c r="C79" s="96">
        <f t="shared" si="11"/>
        <v>0</v>
      </c>
      <c r="D79" s="96">
        <f t="shared" si="8"/>
        <v>0</v>
      </c>
      <c r="E79" s="96">
        <f t="shared" si="6"/>
        <v>0</v>
      </c>
      <c r="F79" s="96">
        <f t="shared" si="9"/>
        <v>0</v>
      </c>
      <c r="G79" s="96">
        <f t="shared" si="10"/>
        <v>0</v>
      </c>
    </row>
    <row r="80" spans="1:9">
      <c r="A80" s="95"/>
      <c r="B80" s="95" t="s">
        <v>122</v>
      </c>
      <c r="C80" s="96">
        <f t="shared" si="11"/>
        <v>0</v>
      </c>
      <c r="D80" s="96">
        <f t="shared" si="8"/>
        <v>0</v>
      </c>
      <c r="E80" s="96">
        <f t="shared" si="6"/>
        <v>0</v>
      </c>
      <c r="F80" s="96">
        <f t="shared" si="9"/>
        <v>0</v>
      </c>
      <c r="G80" s="96">
        <f t="shared" si="10"/>
        <v>0</v>
      </c>
    </row>
    <row r="81" spans="1:9">
      <c r="A81" s="95"/>
      <c r="B81" s="95" t="s">
        <v>123</v>
      </c>
      <c r="C81" s="96">
        <f t="shared" si="11"/>
        <v>0</v>
      </c>
      <c r="D81" s="96">
        <f t="shared" si="8"/>
        <v>0</v>
      </c>
      <c r="E81" s="96">
        <f t="shared" ref="E81:E93" si="12">F81-D81</f>
        <v>0</v>
      </c>
      <c r="F81" s="96">
        <f t="shared" si="9"/>
        <v>0</v>
      </c>
      <c r="G81" s="96">
        <f t="shared" si="10"/>
        <v>0</v>
      </c>
      <c r="H81" s="1"/>
      <c r="I81" s="1"/>
    </row>
    <row r="82" spans="1:9">
      <c r="A82" s="95" t="s">
        <v>283</v>
      </c>
      <c r="B82" s="95" t="s">
        <v>218</v>
      </c>
      <c r="C82" s="96">
        <f t="shared" si="11"/>
        <v>0</v>
      </c>
      <c r="D82" s="96">
        <f t="shared" si="8"/>
        <v>0</v>
      </c>
      <c r="E82" s="96">
        <f t="shared" si="12"/>
        <v>0</v>
      </c>
      <c r="F82" s="96">
        <f t="shared" si="9"/>
        <v>0</v>
      </c>
      <c r="G82" s="96">
        <f t="shared" si="10"/>
        <v>0</v>
      </c>
    </row>
    <row r="83" spans="1:9">
      <c r="A83" s="95"/>
      <c r="B83" s="95" t="s">
        <v>219</v>
      </c>
      <c r="C83" s="96">
        <f t="shared" si="11"/>
        <v>0</v>
      </c>
      <c r="D83" s="96">
        <f t="shared" si="8"/>
        <v>0</v>
      </c>
      <c r="E83" s="96">
        <f t="shared" si="12"/>
        <v>0</v>
      </c>
      <c r="F83" s="96">
        <f t="shared" si="9"/>
        <v>0</v>
      </c>
      <c r="G83" s="96">
        <f t="shared" si="10"/>
        <v>0</v>
      </c>
    </row>
    <row r="84" spans="1:9">
      <c r="A84" s="95"/>
      <c r="B84" s="95" t="s">
        <v>220</v>
      </c>
      <c r="C84" s="96">
        <f t="shared" si="11"/>
        <v>0</v>
      </c>
      <c r="D84" s="96">
        <f t="shared" si="8"/>
        <v>0</v>
      </c>
      <c r="E84" s="96">
        <f t="shared" si="12"/>
        <v>0</v>
      </c>
      <c r="F84" s="96">
        <f t="shared" si="9"/>
        <v>0</v>
      </c>
      <c r="G84" s="96">
        <f t="shared" si="10"/>
        <v>0</v>
      </c>
    </row>
    <row r="85" spans="1:9">
      <c r="A85" s="95"/>
      <c r="B85" s="95" t="s">
        <v>221</v>
      </c>
      <c r="C85" s="96">
        <f t="shared" si="11"/>
        <v>0</v>
      </c>
      <c r="D85" s="96">
        <f t="shared" si="8"/>
        <v>0</v>
      </c>
      <c r="E85" s="96">
        <f t="shared" si="12"/>
        <v>0</v>
      </c>
      <c r="F85" s="96">
        <f t="shared" si="9"/>
        <v>0</v>
      </c>
      <c r="G85" s="96">
        <f t="shared" si="10"/>
        <v>0</v>
      </c>
    </row>
    <row r="86" spans="1:9">
      <c r="A86" s="95"/>
      <c r="B86" s="95" t="s">
        <v>222</v>
      </c>
      <c r="C86" s="96">
        <f t="shared" si="11"/>
        <v>0</v>
      </c>
      <c r="D86" s="96">
        <f t="shared" si="8"/>
        <v>0</v>
      </c>
      <c r="E86" s="96">
        <f t="shared" si="12"/>
        <v>0</v>
      </c>
      <c r="F86" s="96">
        <f t="shared" si="9"/>
        <v>0</v>
      </c>
      <c r="G86" s="96">
        <f t="shared" si="10"/>
        <v>0</v>
      </c>
    </row>
    <row r="87" spans="1:9">
      <c r="A87" s="95"/>
      <c r="B87" s="95" t="s">
        <v>223</v>
      </c>
      <c r="C87" s="96">
        <f t="shared" si="11"/>
        <v>0</v>
      </c>
      <c r="D87" s="96">
        <f t="shared" si="8"/>
        <v>0</v>
      </c>
      <c r="E87" s="96">
        <f t="shared" si="12"/>
        <v>0</v>
      </c>
      <c r="F87" s="96">
        <f t="shared" si="9"/>
        <v>0</v>
      </c>
      <c r="G87" s="96">
        <f t="shared" si="10"/>
        <v>0</v>
      </c>
    </row>
    <row r="88" spans="1:9">
      <c r="A88" s="95"/>
      <c r="B88" s="95" t="s">
        <v>224</v>
      </c>
      <c r="C88" s="96">
        <f t="shared" si="11"/>
        <v>0</v>
      </c>
      <c r="D88" s="96">
        <f t="shared" si="8"/>
        <v>0</v>
      </c>
      <c r="E88" s="96">
        <f t="shared" si="12"/>
        <v>0</v>
      </c>
      <c r="F88" s="96">
        <f t="shared" si="9"/>
        <v>0</v>
      </c>
      <c r="G88" s="96">
        <f t="shared" si="10"/>
        <v>0</v>
      </c>
    </row>
    <row r="89" spans="1:9">
      <c r="A89" s="95"/>
      <c r="B89" s="95" t="s">
        <v>225</v>
      </c>
      <c r="C89" s="96">
        <f t="shared" si="11"/>
        <v>0</v>
      </c>
      <c r="D89" s="96">
        <f t="shared" si="8"/>
        <v>0</v>
      </c>
      <c r="E89" s="96">
        <f t="shared" si="12"/>
        <v>0</v>
      </c>
      <c r="F89" s="96">
        <f t="shared" si="9"/>
        <v>0</v>
      </c>
      <c r="G89" s="96">
        <f t="shared" si="10"/>
        <v>0</v>
      </c>
    </row>
    <row r="90" spans="1:9">
      <c r="A90" s="95"/>
      <c r="B90" s="95" t="s">
        <v>226</v>
      </c>
      <c r="C90" s="96">
        <f t="shared" si="11"/>
        <v>0</v>
      </c>
      <c r="D90" s="96">
        <f t="shared" si="8"/>
        <v>0</v>
      </c>
      <c r="E90" s="96">
        <f t="shared" si="12"/>
        <v>0</v>
      </c>
      <c r="F90" s="96">
        <f t="shared" si="9"/>
        <v>0</v>
      </c>
      <c r="G90" s="96">
        <f t="shared" si="10"/>
        <v>0</v>
      </c>
    </row>
    <row r="91" spans="1:9">
      <c r="A91" s="95"/>
      <c r="B91" s="95" t="s">
        <v>227</v>
      </c>
      <c r="C91" s="96">
        <f t="shared" si="11"/>
        <v>0</v>
      </c>
      <c r="D91" s="96">
        <f t="shared" si="8"/>
        <v>0</v>
      </c>
      <c r="E91" s="96">
        <f t="shared" si="12"/>
        <v>0</v>
      </c>
      <c r="F91" s="96">
        <f t="shared" si="9"/>
        <v>0</v>
      </c>
      <c r="G91" s="96">
        <f t="shared" si="10"/>
        <v>0</v>
      </c>
    </row>
    <row r="92" spans="1:9">
      <c r="A92" s="95"/>
      <c r="B92" s="95" t="s">
        <v>228</v>
      </c>
      <c r="C92" s="96">
        <f t="shared" si="11"/>
        <v>0</v>
      </c>
      <c r="D92" s="96">
        <f t="shared" si="8"/>
        <v>0</v>
      </c>
      <c r="E92" s="96">
        <f t="shared" si="12"/>
        <v>0</v>
      </c>
      <c r="F92" s="96">
        <f t="shared" si="9"/>
        <v>0</v>
      </c>
      <c r="G92" s="96">
        <f t="shared" si="10"/>
        <v>0</v>
      </c>
    </row>
    <row r="93" spans="1:9">
      <c r="A93" s="95"/>
      <c r="B93" s="95" t="s">
        <v>229</v>
      </c>
      <c r="C93" s="96">
        <f t="shared" si="11"/>
        <v>0</v>
      </c>
      <c r="D93" s="96">
        <f t="shared" si="8"/>
        <v>0</v>
      </c>
      <c r="E93" s="96">
        <f t="shared" si="12"/>
        <v>0</v>
      </c>
      <c r="F93" s="96">
        <f t="shared" si="9"/>
        <v>0</v>
      </c>
      <c r="G93" s="96">
        <f t="shared" si="10"/>
        <v>0</v>
      </c>
    </row>
    <row r="94" spans="1:9">
      <c r="A94" s="94"/>
      <c r="B94" s="94"/>
      <c r="C94" s="94"/>
      <c r="D94" s="103">
        <f>SUM(D10:D93)</f>
        <v>0</v>
      </c>
      <c r="E94" s="103">
        <f>SUM(E10:E93)</f>
        <v>0</v>
      </c>
      <c r="F94" s="94"/>
      <c r="G94" s="94"/>
    </row>
    <row r="95" spans="1:9" ht="40" customHeight="1">
      <c r="A95" s="448" t="s">
        <v>428</v>
      </c>
      <c r="B95" s="448"/>
      <c r="C95" s="448"/>
      <c r="D95" s="448"/>
      <c r="E95" s="448"/>
      <c r="F95" s="448"/>
      <c r="G95" s="448"/>
      <c r="H95" s="448"/>
    </row>
    <row r="96" spans="1:9">
      <c r="A96" t="s">
        <v>551</v>
      </c>
    </row>
    <row r="97" spans="1:2">
      <c r="A97">
        <v>1</v>
      </c>
      <c r="B97" t="s">
        <v>552</v>
      </c>
    </row>
    <row r="98" spans="1:2">
      <c r="A98">
        <v>2</v>
      </c>
      <c r="B98" t="s">
        <v>553</v>
      </c>
    </row>
  </sheetData>
  <mergeCells count="2">
    <mergeCell ref="A2:G2"/>
    <mergeCell ref="A95:H95"/>
  </mergeCells>
  <pageMargins left="0.7" right="0.7" top="0.75" bottom="0.75" header="0.3" footer="0.3"/>
  <pageSetup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P56"/>
  <sheetViews>
    <sheetView view="pageBreakPreview" zoomScale="80" zoomScaleSheetLayoutView="80" workbookViewId="0">
      <selection activeCell="B5" sqref="B5"/>
    </sheetView>
  </sheetViews>
  <sheetFormatPr defaultRowHeight="14.5"/>
  <cols>
    <col min="1" max="1" width="30.453125" bestFit="1" customWidth="1"/>
    <col min="2" max="2" width="12.54296875" customWidth="1"/>
    <col min="3" max="6" width="11.1796875" customWidth="1"/>
    <col min="7" max="9" width="11.453125" customWidth="1"/>
    <col min="10" max="10" width="12.1796875" customWidth="1"/>
  </cols>
  <sheetData>
    <row r="2" spans="1:16" ht="17.5">
      <c r="A2" s="466" t="s">
        <v>604</v>
      </c>
      <c r="B2" s="466"/>
      <c r="C2" s="466"/>
      <c r="D2" s="466"/>
      <c r="E2" s="466"/>
      <c r="F2" s="466"/>
      <c r="G2" s="466"/>
      <c r="H2" s="466"/>
    </row>
    <row r="3" spans="1:16" ht="17.5">
      <c r="A3" s="466" t="s">
        <v>605</v>
      </c>
      <c r="B3" s="466"/>
      <c r="C3" s="466"/>
      <c r="D3" s="466"/>
      <c r="E3" s="466"/>
      <c r="F3" s="466"/>
      <c r="G3" s="466"/>
      <c r="H3" s="466"/>
    </row>
    <row r="4" spans="1:16">
      <c r="A4" s="187" t="s">
        <v>163</v>
      </c>
      <c r="B4" s="262">
        <v>0</v>
      </c>
      <c r="C4" s="185" t="s">
        <v>303</v>
      </c>
      <c r="D4" s="185"/>
      <c r="E4" s="185"/>
      <c r="F4" s="185"/>
      <c r="G4" s="186"/>
      <c r="H4" s="94"/>
    </row>
    <row r="5" spans="1:16">
      <c r="A5" s="187"/>
      <c r="B5" s="188"/>
      <c r="C5" s="186"/>
      <c r="D5" s="186"/>
      <c r="E5" s="186"/>
      <c r="F5" s="186"/>
      <c r="G5" s="186"/>
      <c r="H5" s="94"/>
    </row>
    <row r="6" spans="1:16">
      <c r="A6" s="187" t="s">
        <v>305</v>
      </c>
      <c r="B6" s="189">
        <v>12</v>
      </c>
      <c r="C6" s="186"/>
      <c r="D6" s="189"/>
      <c r="E6" s="189"/>
      <c r="F6" s="186"/>
      <c r="G6" s="186"/>
      <c r="H6" s="94"/>
    </row>
    <row r="7" spans="1:16">
      <c r="A7" s="187"/>
      <c r="B7" s="94"/>
      <c r="C7" s="189"/>
      <c r="D7" s="189"/>
      <c r="E7" s="189"/>
      <c r="F7" s="186"/>
      <c r="G7" s="186"/>
      <c r="H7" s="94"/>
    </row>
    <row r="8" spans="1:16">
      <c r="A8" s="148" t="s">
        <v>128</v>
      </c>
      <c r="B8" s="120" t="s">
        <v>2</v>
      </c>
      <c r="C8" s="120" t="s">
        <v>3</v>
      </c>
      <c r="D8" s="120" t="s">
        <v>4</v>
      </c>
      <c r="E8" s="120" t="s">
        <v>5</v>
      </c>
      <c r="F8" s="120" t="s">
        <v>6</v>
      </c>
      <c r="G8" s="120" t="s">
        <v>171</v>
      </c>
      <c r="H8" s="120" t="s">
        <v>170</v>
      </c>
    </row>
    <row r="9" spans="1:16">
      <c r="A9" s="95" t="s">
        <v>306</v>
      </c>
      <c r="B9" s="282">
        <v>1</v>
      </c>
      <c r="C9" s="282">
        <v>1</v>
      </c>
      <c r="D9" s="282">
        <v>1</v>
      </c>
      <c r="E9" s="282">
        <v>1</v>
      </c>
      <c r="F9" s="282">
        <v>1</v>
      </c>
      <c r="G9" s="282">
        <v>1</v>
      </c>
      <c r="H9" s="282">
        <v>1</v>
      </c>
      <c r="O9">
        <v>25</v>
      </c>
      <c r="P9">
        <v>4</v>
      </c>
    </row>
    <row r="10" spans="1:16">
      <c r="A10" s="97" t="s">
        <v>328</v>
      </c>
      <c r="B10" s="191">
        <f t="shared" ref="B10:H10" si="0">$B$4*B9*$B$6</f>
        <v>0</v>
      </c>
      <c r="C10" s="191">
        <f t="shared" si="0"/>
        <v>0</v>
      </c>
      <c r="D10" s="191">
        <f t="shared" si="0"/>
        <v>0</v>
      </c>
      <c r="E10" s="191">
        <f t="shared" si="0"/>
        <v>0</v>
      </c>
      <c r="F10" s="191">
        <f t="shared" si="0"/>
        <v>0</v>
      </c>
      <c r="G10" s="191">
        <f t="shared" si="0"/>
        <v>0</v>
      </c>
      <c r="H10" s="191">
        <f t="shared" si="0"/>
        <v>0</v>
      </c>
      <c r="O10">
        <v>1000</v>
      </c>
      <c r="P10">
        <f>P9*O10/O9</f>
        <v>160</v>
      </c>
    </row>
    <row r="15" spans="1:16" ht="17.5">
      <c r="A15" s="419" t="s">
        <v>606</v>
      </c>
      <c r="B15" s="419"/>
      <c r="C15" s="419"/>
      <c r="D15" s="419"/>
      <c r="E15" s="419"/>
      <c r="F15" s="419"/>
      <c r="G15" s="419"/>
      <c r="H15" s="419"/>
      <c r="I15" s="419"/>
      <c r="J15" s="419"/>
    </row>
    <row r="16" spans="1:16">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330</v>
      </c>
      <c r="B21" s="95"/>
      <c r="C21" s="257">
        <v>235</v>
      </c>
      <c r="D21" s="96">
        <f t="shared" ref="D21:J21" si="2">B10*$C$21*D17</f>
        <v>0</v>
      </c>
      <c r="E21" s="96">
        <f t="shared" si="2"/>
        <v>0</v>
      </c>
      <c r="F21" s="96">
        <f t="shared" si="2"/>
        <v>0</v>
      </c>
      <c r="G21" s="96">
        <f t="shared" si="2"/>
        <v>0</v>
      </c>
      <c r="H21" s="96">
        <f t="shared" si="2"/>
        <v>0</v>
      </c>
      <c r="I21" s="96">
        <f t="shared" si="2"/>
        <v>0</v>
      </c>
      <c r="J21" s="96">
        <f t="shared" si="2"/>
        <v>0</v>
      </c>
    </row>
    <row r="22" spans="1:10">
      <c r="A22" s="95"/>
      <c r="B22" s="95"/>
      <c r="C22" s="96"/>
      <c r="D22" s="96"/>
      <c r="E22" s="96"/>
      <c r="F22" s="96"/>
      <c r="G22" s="96"/>
      <c r="H22" s="96"/>
      <c r="I22" s="96"/>
      <c r="J22" s="96"/>
    </row>
    <row r="23" spans="1:10">
      <c r="A23" s="97" t="s">
        <v>144</v>
      </c>
      <c r="B23" s="97"/>
      <c r="C23" s="115"/>
      <c r="D23" s="96">
        <f t="shared" ref="D23:J23" si="3">SUM(D21:D21)</f>
        <v>0</v>
      </c>
      <c r="E23" s="96">
        <f t="shared" si="3"/>
        <v>0</v>
      </c>
      <c r="F23" s="96">
        <f t="shared" si="3"/>
        <v>0</v>
      </c>
      <c r="G23" s="96">
        <f t="shared" si="3"/>
        <v>0</v>
      </c>
      <c r="H23" s="96">
        <f t="shared" si="3"/>
        <v>0</v>
      </c>
      <c r="I23" s="96">
        <f t="shared" si="3"/>
        <v>0</v>
      </c>
      <c r="J23" s="96">
        <f t="shared" si="3"/>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316</v>
      </c>
      <c r="B26" s="97"/>
      <c r="C26" s="96"/>
      <c r="D26" s="96"/>
      <c r="E26" s="96"/>
      <c r="F26" s="96"/>
      <c r="G26" s="96"/>
      <c r="H26" s="96"/>
      <c r="I26" s="96"/>
      <c r="J26" s="96"/>
    </row>
    <row r="27" spans="1:10">
      <c r="A27" s="95" t="s">
        <v>307</v>
      </c>
      <c r="B27" s="233" t="s">
        <v>303</v>
      </c>
      <c r="C27" s="257">
        <v>15</v>
      </c>
      <c r="D27" s="96">
        <f t="shared" ref="D27:J27" si="4">$B$4*$C$27*D17*4</f>
        <v>0</v>
      </c>
      <c r="E27" s="96">
        <f t="shared" si="4"/>
        <v>0</v>
      </c>
      <c r="F27" s="96">
        <f t="shared" si="4"/>
        <v>0</v>
      </c>
      <c r="G27" s="96">
        <f t="shared" si="4"/>
        <v>0</v>
      </c>
      <c r="H27" s="96">
        <f t="shared" si="4"/>
        <v>0</v>
      </c>
      <c r="I27" s="96">
        <f t="shared" si="4"/>
        <v>0</v>
      </c>
      <c r="J27" s="96">
        <f t="shared" si="4"/>
        <v>0</v>
      </c>
    </row>
    <row r="28" spans="1:10">
      <c r="A28" s="95" t="s">
        <v>308</v>
      </c>
      <c r="B28" s="233" t="s">
        <v>303</v>
      </c>
      <c r="C28" s="257">
        <v>14</v>
      </c>
      <c r="D28" s="96">
        <f t="shared" ref="D28:J28" si="5">$B$4*$C$28*D17*12</f>
        <v>0</v>
      </c>
      <c r="E28" s="96">
        <f t="shared" si="5"/>
        <v>0</v>
      </c>
      <c r="F28" s="96">
        <f t="shared" si="5"/>
        <v>0</v>
      </c>
      <c r="G28" s="96">
        <f t="shared" si="5"/>
        <v>0</v>
      </c>
      <c r="H28" s="96">
        <f t="shared" si="5"/>
        <v>0</v>
      </c>
      <c r="I28" s="96">
        <f t="shared" si="5"/>
        <v>0</v>
      </c>
      <c r="J28" s="96">
        <f t="shared" si="5"/>
        <v>0</v>
      </c>
    </row>
    <row r="29" spans="1:10">
      <c r="A29" s="95" t="s">
        <v>309</v>
      </c>
      <c r="B29" s="233"/>
      <c r="C29" s="257">
        <v>0</v>
      </c>
      <c r="D29" s="96">
        <f>$C$29*12*D17</f>
        <v>0</v>
      </c>
      <c r="E29" s="96">
        <f t="shared" ref="E29:J29" si="6">$C$29*12*E17</f>
        <v>0</v>
      </c>
      <c r="F29" s="96">
        <f t="shared" si="6"/>
        <v>0</v>
      </c>
      <c r="G29" s="96">
        <f t="shared" si="6"/>
        <v>0</v>
      </c>
      <c r="H29" s="96">
        <f t="shared" si="6"/>
        <v>0</v>
      </c>
      <c r="I29" s="96">
        <f t="shared" si="6"/>
        <v>0</v>
      </c>
      <c r="J29" s="96">
        <f t="shared" si="6"/>
        <v>0</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327</v>
      </c>
      <c r="B34" s="238"/>
      <c r="C34" s="261"/>
      <c r="D34" s="115">
        <f>SUM(D27:D33)</f>
        <v>0</v>
      </c>
      <c r="E34" s="115">
        <f t="shared" ref="E34:J34" si="7">SUM(E27:E33)</f>
        <v>0</v>
      </c>
      <c r="F34" s="115">
        <f t="shared" si="7"/>
        <v>0</v>
      </c>
      <c r="G34" s="115">
        <f t="shared" si="7"/>
        <v>0</v>
      </c>
      <c r="H34" s="115">
        <f t="shared" si="7"/>
        <v>0</v>
      </c>
      <c r="I34" s="115">
        <f t="shared" si="7"/>
        <v>0</v>
      </c>
      <c r="J34" s="115">
        <f t="shared" si="7"/>
        <v>0</v>
      </c>
    </row>
    <row r="35" spans="1:10">
      <c r="A35" s="97"/>
      <c r="B35" s="238"/>
      <c r="C35" s="261"/>
      <c r="D35" s="115"/>
      <c r="E35" s="115"/>
      <c r="F35" s="115"/>
      <c r="G35" s="115"/>
      <c r="H35" s="115"/>
      <c r="I35" s="115"/>
      <c r="J35" s="115"/>
    </row>
    <row r="36" spans="1:10">
      <c r="A36" s="97" t="s">
        <v>314</v>
      </c>
      <c r="B36" s="233"/>
      <c r="C36" s="257"/>
      <c r="D36" s="96"/>
      <c r="E36" s="96"/>
      <c r="F36" s="96"/>
      <c r="G36" s="96"/>
      <c r="H36" s="96"/>
      <c r="I36" s="96"/>
      <c r="J36" s="96"/>
    </row>
    <row r="37" spans="1:10">
      <c r="A37" s="95" t="s">
        <v>329</v>
      </c>
      <c r="B37" s="233">
        <v>1</v>
      </c>
      <c r="C37" s="257"/>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331</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0</v>
      </c>
      <c r="E45" s="115">
        <f t="shared" ref="E45:J45" si="10">E34+E43</f>
        <v>0</v>
      </c>
      <c r="F45" s="115">
        <f t="shared" si="10"/>
        <v>0</v>
      </c>
      <c r="G45" s="115">
        <f t="shared" si="10"/>
        <v>0</v>
      </c>
      <c r="H45" s="115">
        <f t="shared" si="10"/>
        <v>0</v>
      </c>
      <c r="I45" s="115">
        <f t="shared" si="10"/>
        <v>0</v>
      </c>
      <c r="J45" s="115">
        <f t="shared" si="10"/>
        <v>0</v>
      </c>
    </row>
    <row r="46" spans="1:10">
      <c r="A46" s="95"/>
      <c r="B46" s="95"/>
      <c r="C46" s="96"/>
      <c r="D46" s="96"/>
      <c r="E46" s="96"/>
      <c r="F46" s="96"/>
      <c r="G46" s="96"/>
      <c r="H46" s="96"/>
      <c r="I46" s="96"/>
      <c r="J46" s="96"/>
    </row>
    <row r="47" spans="1:10">
      <c r="A47" s="97" t="s">
        <v>129</v>
      </c>
      <c r="B47" s="97"/>
      <c r="C47" s="115"/>
      <c r="D47" s="115">
        <f t="shared" ref="D47:J47" si="11">D23-D45</f>
        <v>0</v>
      </c>
      <c r="E47" s="115">
        <f t="shared" si="11"/>
        <v>0</v>
      </c>
      <c r="F47" s="115">
        <f t="shared" si="11"/>
        <v>0</v>
      </c>
      <c r="G47" s="115">
        <f t="shared" si="11"/>
        <v>0</v>
      </c>
      <c r="H47" s="115">
        <f t="shared" si="11"/>
        <v>0</v>
      </c>
      <c r="I47" s="115">
        <f t="shared" si="11"/>
        <v>0</v>
      </c>
      <c r="J47" s="115">
        <f t="shared" si="11"/>
        <v>0</v>
      </c>
    </row>
    <row r="48" spans="1:10">
      <c r="A48" s="94"/>
      <c r="B48" s="94"/>
      <c r="C48" s="94"/>
      <c r="D48" s="94"/>
      <c r="E48" s="94"/>
      <c r="F48" s="94"/>
      <c r="G48" s="94"/>
      <c r="H48" s="94"/>
      <c r="I48" s="94"/>
      <c r="J48" s="94"/>
    </row>
    <row r="49" spans="1:10">
      <c r="A49" s="94"/>
    </row>
    <row r="51" spans="1:10">
      <c r="A51" s="420" t="s">
        <v>433</v>
      </c>
      <c r="B51" s="420"/>
      <c r="C51" s="420"/>
      <c r="D51" s="420"/>
      <c r="E51" s="420"/>
      <c r="F51" s="420"/>
      <c r="G51" s="420"/>
      <c r="H51" s="420"/>
      <c r="I51" s="420"/>
      <c r="J51" s="420"/>
    </row>
    <row r="53" spans="1:10">
      <c r="A53" t="s">
        <v>551</v>
      </c>
    </row>
    <row r="54" spans="1:10">
      <c r="A54">
        <v>1</v>
      </c>
      <c r="B54" t="s">
        <v>564</v>
      </c>
    </row>
    <row r="55" spans="1:10">
      <c r="A55">
        <v>2</v>
      </c>
      <c r="B55" t="s">
        <v>565</v>
      </c>
    </row>
    <row r="56" spans="1:10">
      <c r="A56">
        <v>3</v>
      </c>
      <c r="B56" s="94" t="s">
        <v>617</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80" zoomScaleSheetLayoutView="80" workbookViewId="0">
      <selection activeCell="B8" sqref="B8"/>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9" t="s">
        <v>515</v>
      </c>
      <c r="B1" s="419"/>
      <c r="C1" s="419"/>
      <c r="D1" s="419"/>
      <c r="E1" s="419"/>
      <c r="F1" s="419"/>
      <c r="G1" s="419"/>
      <c r="H1" s="419"/>
    </row>
    <row r="2" spans="1:26">
      <c r="B2" s="4"/>
    </row>
    <row r="3" spans="1:26" ht="17.5">
      <c r="A3" s="467" t="s">
        <v>593</v>
      </c>
      <c r="B3" s="467"/>
    </row>
    <row r="4" spans="1:26">
      <c r="A4" s="293" t="s">
        <v>0</v>
      </c>
      <c r="B4" s="311" t="s">
        <v>401</v>
      </c>
      <c r="C4" s="312"/>
      <c r="D4" s="312"/>
      <c r="E4" s="312"/>
      <c r="F4" s="312"/>
      <c r="G4" s="312"/>
      <c r="H4" s="312"/>
    </row>
    <row r="5" spans="1:26">
      <c r="A5" s="10" t="s">
        <v>508</v>
      </c>
      <c r="B5" s="289"/>
      <c r="C5" s="313"/>
      <c r="D5" s="314"/>
      <c r="E5" s="314"/>
      <c r="F5" s="314"/>
      <c r="G5" s="314"/>
      <c r="H5" s="314"/>
    </row>
    <row r="6" spans="1:26">
      <c r="A6" s="10" t="s">
        <v>509</v>
      </c>
      <c r="B6" s="289"/>
      <c r="C6" s="313"/>
      <c r="D6" s="314"/>
      <c r="E6" s="314"/>
      <c r="F6" s="314"/>
      <c r="G6" s="314"/>
      <c r="H6" s="314"/>
    </row>
    <row r="7" spans="1:26">
      <c r="A7" s="2" t="s">
        <v>1</v>
      </c>
      <c r="B7" s="337">
        <f>B5+B6</f>
        <v>0</v>
      </c>
      <c r="C7" s="315"/>
      <c r="D7" s="316"/>
      <c r="E7" s="316"/>
      <c r="F7" s="316"/>
      <c r="G7" s="316"/>
      <c r="H7" s="316"/>
    </row>
    <row r="8" spans="1:26">
      <c r="A8" s="2" t="s">
        <v>510</v>
      </c>
      <c r="B8" s="336">
        <v>1</v>
      </c>
      <c r="C8" s="315"/>
      <c r="D8" s="315"/>
      <c r="E8" s="315"/>
      <c r="F8" s="315"/>
      <c r="G8" s="315"/>
      <c r="H8" s="315"/>
    </row>
    <row r="9" spans="1:26">
      <c r="A9" s="2" t="s">
        <v>511</v>
      </c>
      <c r="B9" s="337">
        <f>B7*B8</f>
        <v>0</v>
      </c>
      <c r="C9" s="316"/>
      <c r="D9" s="316"/>
      <c r="E9" s="316"/>
      <c r="F9" s="316"/>
      <c r="G9" s="316"/>
      <c r="H9" s="316"/>
    </row>
    <row r="10" spans="1:26">
      <c r="J10" t="s">
        <v>467</v>
      </c>
      <c r="O10" t="s">
        <v>463</v>
      </c>
      <c r="U10" t="s">
        <v>464</v>
      </c>
      <c r="Y10" t="s">
        <v>465</v>
      </c>
      <c r="Z10" t="s">
        <v>466</v>
      </c>
    </row>
    <row r="11" spans="1:26" ht="17.5">
      <c r="A11" s="419" t="s">
        <v>594</v>
      </c>
      <c r="B11" s="419"/>
      <c r="C11" s="419"/>
      <c r="D11" s="419"/>
      <c r="E11" s="419"/>
      <c r="F11" s="419"/>
      <c r="G11" s="419"/>
      <c r="H11" s="419"/>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93" t="s">
        <v>405</v>
      </c>
      <c r="B13" s="293" t="s">
        <v>406</v>
      </c>
      <c r="C13" s="294" t="s">
        <v>460</v>
      </c>
      <c r="D13" s="294" t="s">
        <v>468</v>
      </c>
      <c r="E13" s="294" t="s">
        <v>469</v>
      </c>
      <c r="F13" s="294" t="s">
        <v>407</v>
      </c>
      <c r="G13" s="294" t="s">
        <v>663</v>
      </c>
      <c r="H13" s="294" t="s">
        <v>408</v>
      </c>
      <c r="O13" s="306" t="s">
        <v>2</v>
      </c>
      <c r="P13" s="306" t="s">
        <v>3</v>
      </c>
      <c r="Q13" s="306" t="s">
        <v>4</v>
      </c>
      <c r="R13" s="306" t="s">
        <v>5</v>
      </c>
      <c r="S13" s="306" t="s">
        <v>6</v>
      </c>
      <c r="T13" s="306" t="s">
        <v>2</v>
      </c>
      <c r="U13" s="306" t="s">
        <v>3</v>
      </c>
      <c r="V13" s="306" t="s">
        <v>4</v>
      </c>
      <c r="W13" s="306" t="s">
        <v>5</v>
      </c>
      <c r="X13" s="306" t="s">
        <v>6</v>
      </c>
    </row>
    <row r="14" spans="1:26">
      <c r="A14" s="471" t="s">
        <v>409</v>
      </c>
      <c r="B14" s="289" t="s">
        <v>498</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72"/>
      <c r="B15" s="289" t="s">
        <v>499</v>
      </c>
      <c r="C15" s="304">
        <v>0</v>
      </c>
      <c r="D15" s="10">
        <f t="shared" si="3"/>
        <v>0</v>
      </c>
      <c r="E15" s="290">
        <v>7</v>
      </c>
      <c r="F15" s="10">
        <f t="shared" ref="F15:F40" si="4">D15*E15</f>
        <v>0</v>
      </c>
      <c r="G15" s="305">
        <v>0.05</v>
      </c>
      <c r="H15" s="10">
        <f>(F15-F15*G15)</f>
        <v>0</v>
      </c>
    </row>
    <row r="16" spans="1:26">
      <c r="A16" s="472"/>
      <c r="B16" s="289" t="s">
        <v>500</v>
      </c>
      <c r="C16" s="304">
        <v>0</v>
      </c>
      <c r="D16" s="10">
        <f t="shared" si="3"/>
        <v>0</v>
      </c>
      <c r="E16" s="290">
        <v>4</v>
      </c>
      <c r="F16" s="10">
        <f t="shared" si="4"/>
        <v>0</v>
      </c>
      <c r="G16" s="305">
        <v>0</v>
      </c>
      <c r="H16" s="10">
        <f t="shared" ref="H16:H40" si="5">(F16-F16*G16)</f>
        <v>0</v>
      </c>
    </row>
    <row r="17" spans="1:8">
      <c r="A17" s="472"/>
      <c r="B17" s="289" t="s">
        <v>501</v>
      </c>
      <c r="C17" s="304">
        <v>0</v>
      </c>
      <c r="D17" s="10">
        <f t="shared" si="3"/>
        <v>0</v>
      </c>
      <c r="E17" s="290">
        <v>7</v>
      </c>
      <c r="F17" s="10">
        <f t="shared" si="4"/>
        <v>0</v>
      </c>
      <c r="G17" s="305">
        <v>0.02</v>
      </c>
      <c r="H17" s="10">
        <f t="shared" si="5"/>
        <v>0</v>
      </c>
    </row>
    <row r="18" spans="1:8">
      <c r="A18" s="472"/>
      <c r="B18" s="289" t="s">
        <v>503</v>
      </c>
      <c r="C18" s="304">
        <v>0</v>
      </c>
      <c r="D18" s="10">
        <f t="shared" si="3"/>
        <v>0</v>
      </c>
      <c r="E18" s="290">
        <v>20</v>
      </c>
      <c r="F18" s="10">
        <f t="shared" si="4"/>
        <v>0</v>
      </c>
      <c r="G18" s="305">
        <v>0</v>
      </c>
      <c r="H18" s="10">
        <f t="shared" si="5"/>
        <v>0</v>
      </c>
    </row>
    <row r="19" spans="1:8">
      <c r="A19" s="472"/>
      <c r="B19" s="289"/>
      <c r="C19" s="304">
        <v>0</v>
      </c>
      <c r="D19" s="10">
        <f t="shared" si="3"/>
        <v>0</v>
      </c>
      <c r="E19" s="290">
        <v>7</v>
      </c>
      <c r="F19" s="10">
        <f t="shared" si="4"/>
        <v>0</v>
      </c>
      <c r="G19" s="305">
        <v>0.1</v>
      </c>
      <c r="H19" s="10">
        <f t="shared" si="5"/>
        <v>0</v>
      </c>
    </row>
    <row r="20" spans="1:8">
      <c r="A20" s="472"/>
      <c r="B20" s="289"/>
      <c r="C20" s="304">
        <v>0</v>
      </c>
      <c r="D20" s="10">
        <f t="shared" si="3"/>
        <v>0</v>
      </c>
      <c r="E20" s="290">
        <v>6</v>
      </c>
      <c r="F20" s="10">
        <f t="shared" si="4"/>
        <v>0</v>
      </c>
      <c r="G20" s="305">
        <v>0.02</v>
      </c>
      <c r="H20" s="10">
        <f t="shared" si="5"/>
        <v>0</v>
      </c>
    </row>
    <row r="21" spans="1:8">
      <c r="A21" s="472"/>
      <c r="B21" s="289"/>
      <c r="C21" s="304">
        <v>0</v>
      </c>
      <c r="D21" s="10">
        <f t="shared" si="3"/>
        <v>0</v>
      </c>
      <c r="E21" s="290"/>
      <c r="F21" s="10">
        <f t="shared" si="4"/>
        <v>0</v>
      </c>
      <c r="G21" s="305">
        <v>0</v>
      </c>
      <c r="H21" s="10">
        <f t="shared" si="5"/>
        <v>0</v>
      </c>
    </row>
    <row r="22" spans="1:8">
      <c r="A22" s="473"/>
      <c r="B22" s="289"/>
      <c r="C22" s="304">
        <v>0</v>
      </c>
      <c r="D22" s="10">
        <f t="shared" si="3"/>
        <v>0</v>
      </c>
      <c r="E22" s="290"/>
      <c r="F22" s="10">
        <f t="shared" si="4"/>
        <v>0</v>
      </c>
      <c r="G22" s="305">
        <v>0</v>
      </c>
      <c r="H22" s="10">
        <f t="shared" si="5"/>
        <v>0</v>
      </c>
    </row>
    <row r="23" spans="1:8">
      <c r="A23" s="335" t="s">
        <v>516</v>
      </c>
      <c r="B23" s="329"/>
      <c r="C23" s="330">
        <f>B9*B23</f>
        <v>0</v>
      </c>
      <c r="D23" s="10"/>
      <c r="E23" s="290"/>
      <c r="F23" s="10"/>
      <c r="G23" s="305"/>
      <c r="H23" s="10"/>
    </row>
    <row r="24" spans="1:8">
      <c r="A24" s="471" t="s">
        <v>411</v>
      </c>
      <c r="B24" s="289" t="s">
        <v>498</v>
      </c>
      <c r="C24" s="304">
        <v>0</v>
      </c>
      <c r="D24" s="10">
        <f>C$23*C24</f>
        <v>0</v>
      </c>
      <c r="E24" s="290">
        <v>10</v>
      </c>
      <c r="F24" s="10">
        <f t="shared" si="4"/>
        <v>0</v>
      </c>
      <c r="G24" s="305">
        <v>0.1</v>
      </c>
      <c r="H24" s="10">
        <f t="shared" si="5"/>
        <v>0</v>
      </c>
    </row>
    <row r="25" spans="1:8">
      <c r="A25" s="472"/>
      <c r="B25" s="289" t="s">
        <v>499</v>
      </c>
      <c r="C25" s="304">
        <v>0</v>
      </c>
      <c r="D25" s="10">
        <f>C$23*C25</f>
        <v>0</v>
      </c>
      <c r="E25" s="290">
        <v>10</v>
      </c>
      <c r="F25" s="10">
        <f t="shared" si="4"/>
        <v>0</v>
      </c>
      <c r="G25" s="305">
        <v>0.1</v>
      </c>
      <c r="H25" s="10">
        <f t="shared" si="5"/>
        <v>0</v>
      </c>
    </row>
    <row r="26" spans="1:8">
      <c r="A26" s="472"/>
      <c r="B26" s="289" t="s">
        <v>500</v>
      </c>
      <c r="C26" s="304">
        <v>0</v>
      </c>
      <c r="D26" s="10">
        <f>C$23*C26</f>
        <v>0</v>
      </c>
      <c r="E26" s="290">
        <v>10</v>
      </c>
      <c r="F26" s="10">
        <f t="shared" si="4"/>
        <v>0</v>
      </c>
      <c r="G26" s="305">
        <v>0.05</v>
      </c>
      <c r="H26" s="10">
        <f t="shared" si="5"/>
        <v>0</v>
      </c>
    </row>
    <row r="27" spans="1:8">
      <c r="A27" s="472"/>
      <c r="B27" s="289" t="s">
        <v>501</v>
      </c>
      <c r="C27" s="304">
        <v>0</v>
      </c>
      <c r="D27" s="10">
        <f t="shared" ref="D27:D31" si="6">C$23*C27</f>
        <v>0</v>
      </c>
      <c r="E27" s="290">
        <v>20</v>
      </c>
      <c r="F27" s="10">
        <f t="shared" si="4"/>
        <v>0</v>
      </c>
      <c r="G27" s="305">
        <v>0</v>
      </c>
      <c r="H27" s="10">
        <f t="shared" si="5"/>
        <v>0</v>
      </c>
    </row>
    <row r="28" spans="1:8">
      <c r="A28" s="472"/>
      <c r="B28" s="289" t="s">
        <v>502</v>
      </c>
      <c r="C28" s="304">
        <v>0</v>
      </c>
      <c r="D28" s="10">
        <f t="shared" si="6"/>
        <v>0</v>
      </c>
      <c r="E28" s="290"/>
      <c r="F28" s="10">
        <f t="shared" si="4"/>
        <v>0</v>
      </c>
      <c r="G28" s="305">
        <v>0</v>
      </c>
      <c r="H28" s="10">
        <f t="shared" si="5"/>
        <v>0</v>
      </c>
    </row>
    <row r="29" spans="1:8">
      <c r="A29" s="472"/>
      <c r="B29" s="289"/>
      <c r="C29" s="304">
        <v>0</v>
      </c>
      <c r="D29" s="10">
        <f t="shared" si="6"/>
        <v>0</v>
      </c>
      <c r="E29" s="290"/>
      <c r="F29" s="10">
        <f t="shared" si="4"/>
        <v>0</v>
      </c>
      <c r="G29" s="305">
        <v>0</v>
      </c>
      <c r="H29" s="10">
        <f t="shared" si="5"/>
        <v>0</v>
      </c>
    </row>
    <row r="30" spans="1:8">
      <c r="A30" s="472"/>
      <c r="B30" s="289"/>
      <c r="C30" s="304">
        <v>0</v>
      </c>
      <c r="D30" s="10">
        <f t="shared" si="6"/>
        <v>0</v>
      </c>
      <c r="E30" s="290"/>
      <c r="F30" s="10">
        <f t="shared" si="4"/>
        <v>0</v>
      </c>
      <c r="G30" s="305">
        <v>0</v>
      </c>
      <c r="H30" s="10">
        <f t="shared" si="5"/>
        <v>0</v>
      </c>
    </row>
    <row r="31" spans="1:8">
      <c r="A31" s="473"/>
      <c r="B31" s="289"/>
      <c r="C31" s="304">
        <v>0</v>
      </c>
      <c r="D31" s="10">
        <f t="shared" si="6"/>
        <v>0</v>
      </c>
      <c r="E31" s="290"/>
      <c r="F31" s="10">
        <f t="shared" si="4"/>
        <v>0</v>
      </c>
      <c r="G31" s="305">
        <v>0</v>
      </c>
      <c r="H31" s="10">
        <f t="shared" si="5"/>
        <v>0</v>
      </c>
    </row>
    <row r="32" spans="1:8">
      <c r="A32" s="335" t="s">
        <v>517</v>
      </c>
      <c r="B32" s="329"/>
      <c r="C32" s="289">
        <f>B9*B32</f>
        <v>0</v>
      </c>
      <c r="D32" s="10"/>
      <c r="E32" s="290"/>
      <c r="F32" s="10"/>
      <c r="G32" s="305"/>
      <c r="H32" s="10"/>
    </row>
    <row r="33" spans="1:8">
      <c r="A33" s="332" t="s">
        <v>474</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87" t="s">
        <v>518</v>
      </c>
      <c r="B37" s="289" t="s">
        <v>504</v>
      </c>
      <c r="C37" s="304">
        <v>0</v>
      </c>
      <c r="D37" s="10">
        <f t="shared" si="3"/>
        <v>0</v>
      </c>
      <c r="E37" s="290">
        <v>6</v>
      </c>
      <c r="F37" s="10">
        <f t="shared" si="4"/>
        <v>0</v>
      </c>
      <c r="G37" s="305">
        <v>0.05</v>
      </c>
      <c r="H37" s="10">
        <f t="shared" si="5"/>
        <v>0</v>
      </c>
    </row>
    <row r="38" spans="1:8">
      <c r="A38" s="487"/>
      <c r="B38" s="289" t="s">
        <v>505</v>
      </c>
      <c r="C38" s="304">
        <v>0</v>
      </c>
      <c r="D38" s="10">
        <f t="shared" si="3"/>
        <v>0</v>
      </c>
      <c r="E38" s="290"/>
      <c r="F38" s="10">
        <f t="shared" si="4"/>
        <v>0</v>
      </c>
      <c r="G38" s="305">
        <v>0</v>
      </c>
      <c r="H38" s="10">
        <f t="shared" si="5"/>
        <v>0</v>
      </c>
    </row>
    <row r="39" spans="1:8">
      <c r="A39" s="487"/>
      <c r="B39" s="289" t="s">
        <v>506</v>
      </c>
      <c r="C39" s="304">
        <v>0</v>
      </c>
      <c r="D39" s="10">
        <f t="shared" si="3"/>
        <v>0</v>
      </c>
      <c r="E39" s="290"/>
      <c r="F39" s="10">
        <f t="shared" si="4"/>
        <v>0</v>
      </c>
      <c r="G39" s="305">
        <v>0</v>
      </c>
      <c r="H39" s="10">
        <f t="shared" si="5"/>
        <v>0</v>
      </c>
    </row>
    <row r="40" spans="1:8">
      <c r="A40" s="487"/>
      <c r="B40" s="289" t="s">
        <v>507</v>
      </c>
      <c r="C40" s="304">
        <v>0</v>
      </c>
      <c r="D40" s="10">
        <f t="shared" si="3"/>
        <v>0</v>
      </c>
      <c r="E40" s="290"/>
      <c r="F40" s="10">
        <f t="shared" si="4"/>
        <v>0</v>
      </c>
      <c r="G40" s="305">
        <v>0</v>
      </c>
      <c r="H40" s="10">
        <f t="shared" si="5"/>
        <v>0</v>
      </c>
    </row>
    <row r="41" spans="1:8">
      <c r="A41" s="470" t="s">
        <v>414</v>
      </c>
      <c r="B41" s="470"/>
      <c r="C41" s="470"/>
      <c r="D41" s="470"/>
      <c r="E41" s="470"/>
      <c r="F41" s="470"/>
      <c r="G41" s="470"/>
      <c r="H41" s="470"/>
    </row>
    <row r="43" spans="1:8" ht="17.5">
      <c r="A43" s="474" t="s">
        <v>595</v>
      </c>
      <c r="B43" s="475"/>
      <c r="C43" s="475"/>
      <c r="D43" s="475"/>
      <c r="E43" s="475"/>
      <c r="F43" s="475"/>
      <c r="G43" s="475"/>
      <c r="H43" s="476"/>
    </row>
    <row r="44" spans="1:8">
      <c r="A44" s="477"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78"/>
      <c r="B45" s="311" t="s">
        <v>2</v>
      </c>
      <c r="C45" s="311" t="s">
        <v>3</v>
      </c>
      <c r="D45" s="311" t="s">
        <v>4</v>
      </c>
      <c r="E45" s="311" t="s">
        <v>5</v>
      </c>
      <c r="F45" s="311" t="s">
        <v>6</v>
      </c>
      <c r="G45" s="311" t="s">
        <v>171</v>
      </c>
      <c r="H45" s="311"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7.5">
      <c r="A71" s="479" t="s">
        <v>596</v>
      </c>
      <c r="B71" s="480"/>
      <c r="C71" s="480"/>
      <c r="D71" s="480"/>
      <c r="E71" s="480"/>
      <c r="F71" s="480"/>
      <c r="G71" s="480"/>
      <c r="H71" s="481"/>
    </row>
    <row r="72" spans="1:8">
      <c r="A72" s="482"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83"/>
      <c r="B73" s="311" t="s">
        <v>2</v>
      </c>
      <c r="C73" s="311" t="s">
        <v>3</v>
      </c>
      <c r="D73" s="311" t="s">
        <v>4</v>
      </c>
      <c r="E73" s="311" t="s">
        <v>5</v>
      </c>
      <c r="F73" s="311" t="s">
        <v>6</v>
      </c>
      <c r="G73" s="311" t="s">
        <v>171</v>
      </c>
      <c r="H73" s="311"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7.5">
      <c r="A99" s="479" t="s">
        <v>597</v>
      </c>
      <c r="B99" s="480"/>
      <c r="C99" s="480"/>
      <c r="D99" s="480"/>
      <c r="E99" s="480"/>
      <c r="F99" s="480"/>
      <c r="G99" s="480"/>
      <c r="H99" s="481"/>
    </row>
    <row r="100" spans="1:9">
      <c r="A100" s="468"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69"/>
      <c r="B101" s="311" t="s">
        <v>2</v>
      </c>
      <c r="C101" s="311" t="s">
        <v>3</v>
      </c>
      <c r="D101" s="311" t="s">
        <v>4</v>
      </c>
      <c r="E101" s="311" t="s">
        <v>5</v>
      </c>
      <c r="F101" s="311" t="s">
        <v>6</v>
      </c>
      <c r="G101" s="311" t="s">
        <v>171</v>
      </c>
      <c r="H101" s="311" t="s">
        <v>170</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3">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560</v>
      </c>
      <c r="C129" s="318"/>
      <c r="D129" s="318"/>
      <c r="E129" s="318"/>
      <c r="F129" s="318"/>
      <c r="G129" s="318"/>
      <c r="H129" s="318"/>
      <c r="I129" s="318"/>
    </row>
    <row r="130" spans="1:9">
      <c r="A130">
        <v>1</v>
      </c>
      <c r="B130" t="s">
        <v>561</v>
      </c>
    </row>
    <row r="131" spans="1:9">
      <c r="A131">
        <v>2</v>
      </c>
      <c r="B131" t="s">
        <v>562</v>
      </c>
    </row>
    <row r="132" spans="1:9">
      <c r="A132">
        <v>3</v>
      </c>
      <c r="B132" t="s">
        <v>563</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80" zoomScaleSheetLayoutView="80" workbookViewId="0">
      <selection activeCell="B193" sqref="B193"/>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419" t="s">
        <v>598</v>
      </c>
      <c r="B2" s="419"/>
      <c r="C2" s="419"/>
      <c r="D2" s="419"/>
      <c r="E2" s="419"/>
      <c r="F2" s="419"/>
      <c r="G2" s="419"/>
      <c r="H2" s="419"/>
    </row>
    <row r="3" spans="1:8" ht="17.5">
      <c r="A3" s="419" t="s">
        <v>599</v>
      </c>
      <c r="B3" s="419"/>
      <c r="C3" s="419"/>
      <c r="D3" s="419"/>
      <c r="E3" s="419"/>
      <c r="F3" s="419"/>
      <c r="G3" s="419"/>
      <c r="H3" s="419"/>
    </row>
    <row r="4" spans="1:8">
      <c r="B4" s="94"/>
      <c r="C4" s="94"/>
      <c r="D4" s="94"/>
      <c r="E4" s="94"/>
      <c r="F4" s="420" t="s">
        <v>486</v>
      </c>
      <c r="G4" s="420"/>
      <c r="H4" s="420"/>
    </row>
    <row r="5" spans="1:8">
      <c r="A5" s="94" t="s">
        <v>163</v>
      </c>
      <c r="B5" s="250">
        <f>(2*1000)/100</f>
        <v>20</v>
      </c>
      <c r="C5" s="94" t="s">
        <v>462</v>
      </c>
      <c r="D5" s="94"/>
      <c r="E5" s="94"/>
      <c r="F5" s="293" t="s">
        <v>487</v>
      </c>
      <c r="G5" s="293" t="s">
        <v>488</v>
      </c>
      <c r="H5" s="94"/>
    </row>
    <row r="6" spans="1:8">
      <c r="A6" s="94" t="s">
        <v>164</v>
      </c>
      <c r="B6" s="283">
        <v>8</v>
      </c>
      <c r="C6" s="94"/>
      <c r="D6" s="94"/>
      <c r="E6" s="94"/>
      <c r="F6" s="10" t="s">
        <v>484</v>
      </c>
      <c r="G6" s="326">
        <v>0.03</v>
      </c>
      <c r="H6" s="94"/>
    </row>
    <row r="7" spans="1:8">
      <c r="A7" s="94"/>
      <c r="B7" s="94"/>
      <c r="C7" s="94"/>
      <c r="D7" s="94"/>
      <c r="E7" s="94"/>
      <c r="F7" s="10" t="s">
        <v>485</v>
      </c>
      <c r="G7" s="326">
        <v>0.05</v>
      </c>
      <c r="H7" s="94"/>
    </row>
    <row r="8" spans="1:8">
      <c r="A8" s="94" t="s">
        <v>533</v>
      </c>
      <c r="B8" s="94">
        <v>300</v>
      </c>
      <c r="C8" s="94"/>
      <c r="D8" s="94"/>
      <c r="E8" s="94"/>
      <c r="F8" s="10"/>
      <c r="G8" s="326"/>
      <c r="H8" s="94"/>
    </row>
    <row r="9" spans="1:8">
      <c r="A9" s="148" t="s">
        <v>0</v>
      </c>
      <c r="B9" s="120" t="s">
        <v>2</v>
      </c>
      <c r="C9" s="120" t="s">
        <v>3</v>
      </c>
      <c r="D9" s="120" t="s">
        <v>4</v>
      </c>
      <c r="E9" s="120" t="s">
        <v>5</v>
      </c>
      <c r="F9" s="120" t="s">
        <v>6</v>
      </c>
      <c r="G9" s="120" t="s">
        <v>171</v>
      </c>
      <c r="H9" s="120" t="s">
        <v>170</v>
      </c>
    </row>
    <row r="10" spans="1:8">
      <c r="A10" s="95" t="s">
        <v>461</v>
      </c>
      <c r="B10" s="302">
        <f>B33/($B$5*$B$6)</f>
        <v>3.2024999999999998E-6</v>
      </c>
      <c r="C10" s="302">
        <f t="shared" ref="C10:H10" si="0">C33/($B$5*$B$6)</f>
        <v>3.2024999999999998E-6</v>
      </c>
      <c r="D10" s="302">
        <f t="shared" si="0"/>
        <v>3.2024999999999998E-6</v>
      </c>
      <c r="E10" s="302">
        <f t="shared" si="0"/>
        <v>3.2024999999999998E-6</v>
      </c>
      <c r="F10" s="302">
        <f t="shared" si="0"/>
        <v>3.2024999999999998E-6</v>
      </c>
      <c r="G10" s="302">
        <f t="shared" si="0"/>
        <v>3.2024999999999998E-6</v>
      </c>
      <c r="H10" s="302">
        <f t="shared" si="0"/>
        <v>3.2024999999999998E-6</v>
      </c>
    </row>
    <row r="11" spans="1:8">
      <c r="A11" s="201" t="str">
        <f>'10.Grain Production details'!A42</f>
        <v>Soybean</v>
      </c>
      <c r="B11" s="201">
        <f>'10.Grain Production details'!B42</f>
        <v>0</v>
      </c>
      <c r="C11" s="201">
        <f>'10.Grain Production details'!C42</f>
        <v>0</v>
      </c>
      <c r="D11" s="201">
        <f>'10.Grain Production details'!D42</f>
        <v>0</v>
      </c>
      <c r="E11" s="201">
        <f>'10.Grain Production details'!E42</f>
        <v>0</v>
      </c>
      <c r="F11" s="201">
        <f>'10.Grain Production details'!F42</f>
        <v>0</v>
      </c>
      <c r="G11" s="201">
        <f>'10.Grain Production details'!G42</f>
        <v>0</v>
      </c>
      <c r="H11" s="201">
        <f>'10.Grain Production details'!H42</f>
        <v>0</v>
      </c>
    </row>
    <row r="12" spans="1:8">
      <c r="A12" s="201" t="str">
        <f>'10.Grain Production details'!A43</f>
        <v>Red Gram/Tur</v>
      </c>
      <c r="B12" s="201">
        <f>'10.Grain Production details'!B43</f>
        <v>0</v>
      </c>
      <c r="C12" s="201">
        <f>'10.Grain Production details'!C43</f>
        <v>0</v>
      </c>
      <c r="D12" s="201">
        <f>'10.Grain Production details'!D43</f>
        <v>0</v>
      </c>
      <c r="E12" s="201">
        <f>'10.Grain Production details'!E43</f>
        <v>0</v>
      </c>
      <c r="F12" s="201">
        <f>'10.Grain Production details'!F43</f>
        <v>0</v>
      </c>
      <c r="G12" s="201">
        <f>'10.Grain Production details'!G43</f>
        <v>0</v>
      </c>
      <c r="H12" s="201">
        <f>'10.Grain Production details'!H43</f>
        <v>0</v>
      </c>
    </row>
    <row r="13" spans="1:8">
      <c r="A13" s="201" t="str">
        <f>'10.Grain Production details'!A44</f>
        <v>Paddy/Rice</v>
      </c>
      <c r="B13" s="201">
        <f>'10.Grain Production details'!B44</f>
        <v>4.8000000000000001E-4</v>
      </c>
      <c r="C13" s="201">
        <f>'10.Grain Production details'!C44</f>
        <v>4.8000000000000001E-4</v>
      </c>
      <c r="D13" s="201">
        <f>'10.Grain Production details'!D44</f>
        <v>4.8000000000000001E-4</v>
      </c>
      <c r="E13" s="201">
        <f>'10.Grain Production details'!E44</f>
        <v>4.8000000000000001E-4</v>
      </c>
      <c r="F13" s="201">
        <f>'10.Grain Production details'!F44</f>
        <v>4.8000000000000001E-4</v>
      </c>
      <c r="G13" s="201">
        <f>'10.Grain Production details'!G44</f>
        <v>4.8000000000000001E-4</v>
      </c>
      <c r="H13" s="201">
        <f>'10.Grain Production details'!H44</f>
        <v>4.8000000000000001E-4</v>
      </c>
    </row>
    <row r="14" spans="1:8">
      <c r="A14" s="201" t="str">
        <f>'10.Grain Production details'!A45</f>
        <v>Green Gram/ Moong</v>
      </c>
      <c r="B14" s="201">
        <f>'10.Grain Production details'!B45</f>
        <v>0</v>
      </c>
      <c r="C14" s="201">
        <f>'10.Grain Production details'!C45</f>
        <v>0</v>
      </c>
      <c r="D14" s="201">
        <f>'10.Grain Production details'!D45</f>
        <v>0</v>
      </c>
      <c r="E14" s="201">
        <f>'10.Grain Production details'!E45</f>
        <v>0</v>
      </c>
      <c r="F14" s="201">
        <f>'10.Grain Production details'!F45</f>
        <v>0</v>
      </c>
      <c r="G14" s="201">
        <f>'10.Grain Production details'!G45</f>
        <v>0</v>
      </c>
      <c r="H14" s="201">
        <f>'10.Grain Production details'!H45</f>
        <v>0</v>
      </c>
    </row>
    <row r="15" spans="1:8">
      <c r="A15" s="201" t="str">
        <f>'10.Grain Production details'!A46</f>
        <v>Maize</v>
      </c>
      <c r="B15" s="201">
        <f>'10.Grain Production details'!B46</f>
        <v>0</v>
      </c>
      <c r="C15" s="201">
        <f>'10.Grain Production details'!C46</f>
        <v>0</v>
      </c>
      <c r="D15" s="201">
        <f>'10.Grain Production details'!D46</f>
        <v>0</v>
      </c>
      <c r="E15" s="201">
        <f>'10.Grain Production details'!E46</f>
        <v>0</v>
      </c>
      <c r="F15" s="201">
        <f>'10.Grain Production details'!F46</f>
        <v>0</v>
      </c>
      <c r="G15" s="201">
        <f>'10.Grain Production details'!G46</f>
        <v>0</v>
      </c>
      <c r="H15" s="201">
        <f>'10.Grain Production details'!H46</f>
        <v>0</v>
      </c>
    </row>
    <row r="16" spans="1:8">
      <c r="A16" s="201" t="str">
        <f>'10.Grain Production details'!A47</f>
        <v>Black Gram/Udid</v>
      </c>
      <c r="B16" s="201">
        <f>'10.Grain Production details'!B47</f>
        <v>0</v>
      </c>
      <c r="C16" s="201">
        <f>'10.Grain Production details'!C47</f>
        <v>0</v>
      </c>
      <c r="D16" s="201">
        <f>'10.Grain Production details'!D47</f>
        <v>0</v>
      </c>
      <c r="E16" s="201">
        <f>'10.Grain Production details'!E47</f>
        <v>0</v>
      </c>
      <c r="F16" s="201">
        <f>'10.Grain Production details'!F47</f>
        <v>0</v>
      </c>
      <c r="G16" s="201">
        <f>'10.Grain Production details'!G47</f>
        <v>0</v>
      </c>
      <c r="H16" s="201">
        <f>'10.Grain Production details'!H47</f>
        <v>0</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0</v>
      </c>
      <c r="C20" s="201">
        <f>'10.Grain Production details'!C51</f>
        <v>0</v>
      </c>
      <c r="D20" s="201">
        <f>'10.Grain Production details'!D51</f>
        <v>0</v>
      </c>
      <c r="E20" s="201">
        <f>'10.Grain Production details'!E51</f>
        <v>0</v>
      </c>
      <c r="F20" s="201">
        <f>'10.Grain Production details'!F51</f>
        <v>0</v>
      </c>
      <c r="G20" s="201">
        <f>'10.Grain Production details'!G51</f>
        <v>0</v>
      </c>
      <c r="H20" s="201">
        <f>'10.Grain Production details'!H51</f>
        <v>0</v>
      </c>
    </row>
    <row r="21" spans="1:8">
      <c r="A21" s="201" t="str">
        <f>'10.Grain Production details'!A52</f>
        <v>Paddy/Rice</v>
      </c>
      <c r="B21" s="201">
        <f>'10.Grain Production details'!B52</f>
        <v>3.2400000000000001E-5</v>
      </c>
      <c r="C21" s="201">
        <f>'10.Grain Production details'!C52</f>
        <v>3.2400000000000001E-5</v>
      </c>
      <c r="D21" s="201">
        <f>'10.Grain Production details'!D52</f>
        <v>3.2400000000000001E-5</v>
      </c>
      <c r="E21" s="201">
        <f>'10.Grain Production details'!E52</f>
        <v>3.2400000000000001E-5</v>
      </c>
      <c r="F21" s="201">
        <f>'10.Grain Production details'!F52</f>
        <v>3.2400000000000001E-5</v>
      </c>
      <c r="G21" s="201">
        <f>'10.Grain Production details'!G52</f>
        <v>3.2400000000000001E-5</v>
      </c>
      <c r="H21" s="201">
        <f>'10.Grain Production details'!H52</f>
        <v>3.2400000000000001E-5</v>
      </c>
    </row>
    <row r="22" spans="1:8">
      <c r="A22" s="201" t="str">
        <f>'10.Grain Production details'!A53</f>
        <v>Jawar</v>
      </c>
      <c r="B22" s="201">
        <f>'10.Grain Production details'!B53</f>
        <v>0</v>
      </c>
      <c r="C22" s="201">
        <f>'10.Grain Production details'!C53</f>
        <v>0</v>
      </c>
      <c r="D22" s="201">
        <f>'10.Grain Production details'!D53</f>
        <v>0</v>
      </c>
      <c r="E22" s="201">
        <f>'10.Grain Production details'!E53</f>
        <v>0</v>
      </c>
      <c r="F22" s="201">
        <f>'10.Grain Production details'!F53</f>
        <v>0</v>
      </c>
      <c r="G22" s="201">
        <f>'10.Grain Production details'!G53</f>
        <v>0</v>
      </c>
      <c r="H22" s="201">
        <f>'10.Grain Production details'!H53</f>
        <v>0</v>
      </c>
    </row>
    <row r="23" spans="1:8">
      <c r="A23" s="201" t="str">
        <f>'10.Grain Production details'!A54</f>
        <v>Maize</v>
      </c>
      <c r="B23" s="201">
        <f>'10.Grain Production details'!B54</f>
        <v>0</v>
      </c>
      <c r="C23" s="201">
        <f>'10.Grain Production details'!C54</f>
        <v>0</v>
      </c>
      <c r="D23" s="201">
        <f>'10.Grain Production details'!D54</f>
        <v>0</v>
      </c>
      <c r="E23" s="201">
        <f>'10.Grain Production details'!E54</f>
        <v>0</v>
      </c>
      <c r="F23" s="201">
        <f>'10.Grain Production details'!F54</f>
        <v>0</v>
      </c>
      <c r="G23" s="201">
        <f>'10.Grain Production details'!G54</f>
        <v>0</v>
      </c>
      <c r="H23" s="201">
        <f>'10.Grain Production details'!H54</f>
        <v>0</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530</v>
      </c>
      <c r="B33" s="201">
        <f t="shared" ref="B33:H33" si="1">SUM(B11:B32)</f>
        <v>5.1239999999999999E-4</v>
      </c>
      <c r="C33" s="201">
        <f t="shared" si="1"/>
        <v>5.1239999999999999E-4</v>
      </c>
      <c r="D33" s="201">
        <f t="shared" si="1"/>
        <v>5.1239999999999999E-4</v>
      </c>
      <c r="E33" s="201">
        <f t="shared" si="1"/>
        <v>5.1239999999999999E-4</v>
      </c>
      <c r="F33" s="201">
        <f t="shared" si="1"/>
        <v>5.1239999999999999E-4</v>
      </c>
      <c r="G33" s="201">
        <f t="shared" si="1"/>
        <v>5.1239999999999999E-4</v>
      </c>
      <c r="H33" s="201">
        <f t="shared" si="1"/>
        <v>5.1239999999999999E-4</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529</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531</v>
      </c>
      <c r="B62" s="303">
        <v>0.5</v>
      </c>
      <c r="C62" s="303">
        <v>0.5</v>
      </c>
      <c r="D62" s="303">
        <v>0.5</v>
      </c>
      <c r="E62" s="303">
        <v>0.5</v>
      </c>
      <c r="F62" s="303">
        <v>0.5</v>
      </c>
      <c r="G62" s="303">
        <v>0.5</v>
      </c>
      <c r="H62" s="303">
        <v>0.5</v>
      </c>
    </row>
    <row r="63" spans="1:8">
      <c r="A63" s="284" t="s">
        <v>532</v>
      </c>
      <c r="B63" s="303">
        <f t="shared" ref="B63:H63" si="3">1-B62</f>
        <v>0.5</v>
      </c>
      <c r="C63" s="303">
        <f t="shared" si="3"/>
        <v>0.5</v>
      </c>
      <c r="D63" s="303">
        <f t="shared" si="3"/>
        <v>0.5</v>
      </c>
      <c r="E63" s="303">
        <f t="shared" si="3"/>
        <v>0.5</v>
      </c>
      <c r="F63" s="303">
        <f t="shared" si="3"/>
        <v>0.5</v>
      </c>
      <c r="G63" s="303">
        <f t="shared" si="3"/>
        <v>0.5</v>
      </c>
      <c r="H63" s="303">
        <f t="shared" si="3"/>
        <v>0.5</v>
      </c>
    </row>
    <row r="64" spans="1:8">
      <c r="A64" s="284"/>
      <c r="B64" s="303"/>
      <c r="C64" s="303"/>
      <c r="D64" s="303"/>
      <c r="E64" s="303"/>
      <c r="F64" s="303"/>
      <c r="G64" s="303"/>
      <c r="H64" s="303"/>
    </row>
    <row r="65" spans="1:8">
      <c r="A65" s="284" t="s">
        <v>167</v>
      </c>
      <c r="B65" s="285">
        <f t="shared" ref="B65:H65" si="4">B33*B62</f>
        <v>2.5619999999999999E-4</v>
      </c>
      <c r="C65" s="285">
        <f t="shared" si="4"/>
        <v>2.5619999999999999E-4</v>
      </c>
      <c r="D65" s="285">
        <f t="shared" si="4"/>
        <v>2.5619999999999999E-4</v>
      </c>
      <c r="E65" s="285">
        <f t="shared" si="4"/>
        <v>2.5619999999999999E-4</v>
      </c>
      <c r="F65" s="285">
        <f t="shared" si="4"/>
        <v>2.5619999999999999E-4</v>
      </c>
      <c r="G65" s="285">
        <f t="shared" si="4"/>
        <v>2.5619999999999999E-4</v>
      </c>
      <c r="H65" s="285">
        <f t="shared" si="4"/>
        <v>2.5619999999999999E-4</v>
      </c>
    </row>
    <row r="66" spans="1:8">
      <c r="A66" s="97"/>
      <c r="B66" s="201"/>
      <c r="C66" s="201"/>
      <c r="D66" s="201"/>
      <c r="E66" s="201"/>
      <c r="F66" s="201"/>
      <c r="G66" s="201"/>
      <c r="H66" s="201"/>
    </row>
    <row r="67" spans="1:8">
      <c r="A67" s="97" t="s">
        <v>168</v>
      </c>
      <c r="B67" s="201"/>
      <c r="C67" s="201"/>
      <c r="D67" s="201"/>
      <c r="E67" s="201"/>
      <c r="F67" s="201"/>
      <c r="G67" s="201"/>
      <c r="H67" s="201"/>
    </row>
    <row r="68" spans="1:8">
      <c r="A68" s="95" t="str">
        <f t="shared" ref="A68:A89" si="5">A11</f>
        <v>Soybean</v>
      </c>
      <c r="B68" s="301">
        <f t="shared" ref="B68:B89" si="6">B11*$B$63</f>
        <v>0</v>
      </c>
      <c r="C68" s="301">
        <f t="shared" ref="C68:C83" si="7">C11*$C$63</f>
        <v>0</v>
      </c>
      <c r="D68" s="301">
        <f t="shared" ref="D68:D83" si="8">D11*$D$63</f>
        <v>0</v>
      </c>
      <c r="E68" s="301">
        <f t="shared" ref="E68:E83" si="9">E11*$E$63</f>
        <v>0</v>
      </c>
      <c r="F68" s="301">
        <f t="shared" ref="F68:F83" si="10">F11*$F$63</f>
        <v>0</v>
      </c>
      <c r="G68" s="301">
        <f t="shared" ref="G68:G83" si="11">G11*$G$63</f>
        <v>0</v>
      </c>
      <c r="H68" s="301">
        <f t="shared" ref="H68:H83" si="12">H11*$H$63</f>
        <v>0</v>
      </c>
    </row>
    <row r="69" spans="1:8">
      <c r="A69" s="95" t="str">
        <f t="shared" si="5"/>
        <v>Red Gram/Tur</v>
      </c>
      <c r="B69" s="301">
        <f t="shared" si="6"/>
        <v>0</v>
      </c>
      <c r="C69" s="301">
        <f t="shared" si="7"/>
        <v>0</v>
      </c>
      <c r="D69" s="301">
        <f t="shared" si="8"/>
        <v>0</v>
      </c>
      <c r="E69" s="301">
        <f t="shared" si="9"/>
        <v>0</v>
      </c>
      <c r="F69" s="301">
        <f t="shared" si="10"/>
        <v>0</v>
      </c>
      <c r="G69" s="301">
        <f t="shared" si="11"/>
        <v>0</v>
      </c>
      <c r="H69" s="301">
        <f t="shared" si="12"/>
        <v>0</v>
      </c>
    </row>
    <row r="70" spans="1:8">
      <c r="A70" s="95" t="str">
        <f t="shared" si="5"/>
        <v>Paddy/Rice</v>
      </c>
      <c r="B70" s="301">
        <f t="shared" si="6"/>
        <v>2.4000000000000001E-4</v>
      </c>
      <c r="C70" s="301">
        <f t="shared" si="7"/>
        <v>2.4000000000000001E-4</v>
      </c>
      <c r="D70" s="301">
        <f t="shared" si="8"/>
        <v>2.4000000000000001E-4</v>
      </c>
      <c r="E70" s="301">
        <f t="shared" si="9"/>
        <v>2.4000000000000001E-4</v>
      </c>
      <c r="F70" s="301">
        <f t="shared" si="10"/>
        <v>2.4000000000000001E-4</v>
      </c>
      <c r="G70" s="301">
        <f t="shared" si="11"/>
        <v>2.4000000000000001E-4</v>
      </c>
      <c r="H70" s="301">
        <f t="shared" si="12"/>
        <v>2.4000000000000001E-4</v>
      </c>
    </row>
    <row r="71" spans="1:8">
      <c r="A71" s="95" t="str">
        <f t="shared" si="5"/>
        <v>Green Gram/ Moong</v>
      </c>
      <c r="B71" s="301">
        <f t="shared" si="6"/>
        <v>0</v>
      </c>
      <c r="C71" s="301">
        <f t="shared" si="7"/>
        <v>0</v>
      </c>
      <c r="D71" s="301">
        <f t="shared" si="8"/>
        <v>0</v>
      </c>
      <c r="E71" s="301">
        <f t="shared" si="9"/>
        <v>0</v>
      </c>
      <c r="F71" s="301">
        <f t="shared" si="10"/>
        <v>0</v>
      </c>
      <c r="G71" s="301">
        <f t="shared" si="11"/>
        <v>0</v>
      </c>
      <c r="H71" s="301">
        <f t="shared" si="12"/>
        <v>0</v>
      </c>
    </row>
    <row r="72" spans="1:8">
      <c r="A72" s="95" t="str">
        <f t="shared" si="5"/>
        <v>Maize</v>
      </c>
      <c r="B72" s="301">
        <f t="shared" si="6"/>
        <v>0</v>
      </c>
      <c r="C72" s="301">
        <f t="shared" si="7"/>
        <v>0</v>
      </c>
      <c r="D72" s="301">
        <f t="shared" si="8"/>
        <v>0</v>
      </c>
      <c r="E72" s="301">
        <f t="shared" si="9"/>
        <v>0</v>
      </c>
      <c r="F72" s="301">
        <f t="shared" si="10"/>
        <v>0</v>
      </c>
      <c r="G72" s="301">
        <f t="shared" si="11"/>
        <v>0</v>
      </c>
      <c r="H72" s="301">
        <f t="shared" si="12"/>
        <v>0</v>
      </c>
    </row>
    <row r="73" spans="1:8">
      <c r="A73" s="95" t="str">
        <f t="shared" si="5"/>
        <v>Black Gram/Udid</v>
      </c>
      <c r="B73" s="301">
        <f t="shared" si="6"/>
        <v>0</v>
      </c>
      <c r="C73" s="301">
        <f t="shared" si="7"/>
        <v>0</v>
      </c>
      <c r="D73" s="301">
        <f t="shared" si="8"/>
        <v>0</v>
      </c>
      <c r="E73" s="301">
        <f t="shared" si="9"/>
        <v>0</v>
      </c>
      <c r="F73" s="301">
        <f t="shared" si="10"/>
        <v>0</v>
      </c>
      <c r="G73" s="301">
        <f t="shared" si="11"/>
        <v>0</v>
      </c>
      <c r="H73" s="301">
        <f t="shared" si="12"/>
        <v>0</v>
      </c>
    </row>
    <row r="74" spans="1:8">
      <c r="A74" s="95" t="str">
        <f t="shared" si="5"/>
        <v>Bajra</v>
      </c>
      <c r="B74" s="301">
        <f t="shared" si="6"/>
        <v>0</v>
      </c>
      <c r="C74" s="301">
        <f t="shared" si="7"/>
        <v>0</v>
      </c>
      <c r="D74" s="301">
        <f t="shared" si="8"/>
        <v>0</v>
      </c>
      <c r="E74" s="301">
        <f t="shared" si="9"/>
        <v>0</v>
      </c>
      <c r="F74" s="301">
        <f t="shared" si="10"/>
        <v>0</v>
      </c>
      <c r="G74" s="301">
        <f t="shared" si="11"/>
        <v>0</v>
      </c>
      <c r="H74" s="301">
        <f t="shared" si="12"/>
        <v>0</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0</v>
      </c>
      <c r="C77" s="301">
        <f t="shared" si="7"/>
        <v>0</v>
      </c>
      <c r="D77" s="301">
        <f t="shared" si="8"/>
        <v>0</v>
      </c>
      <c r="E77" s="301">
        <f t="shared" si="9"/>
        <v>0</v>
      </c>
      <c r="F77" s="301">
        <f t="shared" si="10"/>
        <v>0</v>
      </c>
      <c r="G77" s="301">
        <f t="shared" si="11"/>
        <v>0</v>
      </c>
      <c r="H77" s="301">
        <f t="shared" si="12"/>
        <v>0</v>
      </c>
    </row>
    <row r="78" spans="1:8">
      <c r="A78" s="95" t="str">
        <f t="shared" si="5"/>
        <v>Paddy/Rice</v>
      </c>
      <c r="B78" s="301">
        <f t="shared" si="6"/>
        <v>1.6200000000000001E-5</v>
      </c>
      <c r="C78" s="301">
        <f t="shared" si="7"/>
        <v>1.6200000000000001E-5</v>
      </c>
      <c r="D78" s="301">
        <f t="shared" si="8"/>
        <v>1.6200000000000001E-5</v>
      </c>
      <c r="E78" s="301">
        <f t="shared" si="9"/>
        <v>1.6200000000000001E-5</v>
      </c>
      <c r="F78" s="301">
        <f t="shared" si="10"/>
        <v>1.6200000000000001E-5</v>
      </c>
      <c r="G78" s="301">
        <f t="shared" si="11"/>
        <v>1.6200000000000001E-5</v>
      </c>
      <c r="H78" s="301">
        <f t="shared" si="12"/>
        <v>1.6200000000000001E-5</v>
      </c>
    </row>
    <row r="79" spans="1:8">
      <c r="A79" s="95" t="str">
        <f t="shared" si="5"/>
        <v>Jawar</v>
      </c>
      <c r="B79" s="301">
        <f t="shared" si="6"/>
        <v>0</v>
      </c>
      <c r="C79" s="301">
        <f t="shared" si="7"/>
        <v>0</v>
      </c>
      <c r="D79" s="301">
        <f t="shared" si="8"/>
        <v>0</v>
      </c>
      <c r="E79" s="301">
        <f t="shared" si="9"/>
        <v>0</v>
      </c>
      <c r="F79" s="301">
        <f t="shared" si="10"/>
        <v>0</v>
      </c>
      <c r="G79" s="301">
        <f t="shared" si="11"/>
        <v>0</v>
      </c>
      <c r="H79" s="301">
        <f t="shared" si="12"/>
        <v>0</v>
      </c>
    </row>
    <row r="80" spans="1:8">
      <c r="A80" s="95" t="str">
        <f t="shared" si="5"/>
        <v>Maize</v>
      </c>
      <c r="B80" s="301">
        <f t="shared" si="6"/>
        <v>0</v>
      </c>
      <c r="C80" s="301">
        <f t="shared" si="7"/>
        <v>0</v>
      </c>
      <c r="D80" s="301">
        <f t="shared" si="8"/>
        <v>0</v>
      </c>
      <c r="E80" s="301">
        <f t="shared" si="9"/>
        <v>0</v>
      </c>
      <c r="F80" s="301">
        <f t="shared" si="10"/>
        <v>0</v>
      </c>
      <c r="G80" s="301">
        <f t="shared" si="11"/>
        <v>0</v>
      </c>
      <c r="H80" s="301">
        <f t="shared" si="12"/>
        <v>0</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0</v>
      </c>
      <c r="C120" s="302">
        <f t="shared" si="20"/>
        <v>0</v>
      </c>
      <c r="D120" s="302">
        <f t="shared" si="20"/>
        <v>0</v>
      </c>
      <c r="E120" s="302">
        <f t="shared" si="20"/>
        <v>0</v>
      </c>
      <c r="F120" s="302">
        <f t="shared" si="20"/>
        <v>0</v>
      </c>
      <c r="G120" s="302">
        <f t="shared" si="20"/>
        <v>0</v>
      </c>
      <c r="H120" s="302">
        <f t="shared" si="20"/>
        <v>0</v>
      </c>
    </row>
    <row r="121" spans="1:12">
      <c r="A121" s="99" t="str">
        <f t="shared" si="19"/>
        <v>Red Gram/Tur</v>
      </c>
      <c r="B121" s="302">
        <f t="shared" si="20"/>
        <v>0</v>
      </c>
      <c r="C121" s="302">
        <f t="shared" si="20"/>
        <v>0</v>
      </c>
      <c r="D121" s="302">
        <f t="shared" si="20"/>
        <v>0</v>
      </c>
      <c r="E121" s="302">
        <f t="shared" si="20"/>
        <v>0</v>
      </c>
      <c r="F121" s="302">
        <f t="shared" si="20"/>
        <v>0</v>
      </c>
      <c r="G121" s="302">
        <f t="shared" si="20"/>
        <v>0</v>
      </c>
      <c r="H121" s="302">
        <f t="shared" si="20"/>
        <v>0</v>
      </c>
    </row>
    <row r="122" spans="1:12">
      <c r="A122" s="99" t="str">
        <f t="shared" si="19"/>
        <v>Paddy/Rice</v>
      </c>
      <c r="B122" s="302">
        <f t="shared" si="20"/>
        <v>2.3279999999999999E-4</v>
      </c>
      <c r="C122" s="302">
        <f t="shared" si="20"/>
        <v>2.3279999999999999E-4</v>
      </c>
      <c r="D122" s="302">
        <f t="shared" si="20"/>
        <v>2.3279999999999999E-4</v>
      </c>
      <c r="E122" s="302">
        <f t="shared" si="20"/>
        <v>2.3279999999999999E-4</v>
      </c>
      <c r="F122" s="302">
        <f t="shared" si="20"/>
        <v>2.3279999999999999E-4</v>
      </c>
      <c r="G122" s="302">
        <f t="shared" si="20"/>
        <v>2.3279999999999999E-4</v>
      </c>
      <c r="H122" s="302">
        <f t="shared" si="20"/>
        <v>2.3279999999999999E-4</v>
      </c>
    </row>
    <row r="123" spans="1:12">
      <c r="A123" s="99" t="str">
        <f t="shared" si="19"/>
        <v>Green Gram/ Moong</v>
      </c>
      <c r="B123" s="302">
        <f t="shared" si="20"/>
        <v>0</v>
      </c>
      <c r="C123" s="302">
        <f t="shared" si="20"/>
        <v>0</v>
      </c>
      <c r="D123" s="302">
        <f t="shared" si="20"/>
        <v>0</v>
      </c>
      <c r="E123" s="302">
        <f t="shared" si="20"/>
        <v>0</v>
      </c>
      <c r="F123" s="302">
        <f t="shared" si="20"/>
        <v>0</v>
      </c>
      <c r="G123" s="302">
        <f t="shared" si="20"/>
        <v>0</v>
      </c>
      <c r="H123" s="302">
        <f t="shared" si="20"/>
        <v>0</v>
      </c>
    </row>
    <row r="124" spans="1:12">
      <c r="A124" s="99" t="str">
        <f t="shared" si="19"/>
        <v>Maize</v>
      </c>
      <c r="B124" s="302">
        <f t="shared" si="20"/>
        <v>0</v>
      </c>
      <c r="C124" s="302">
        <f t="shared" si="20"/>
        <v>0</v>
      </c>
      <c r="D124" s="302">
        <f t="shared" si="20"/>
        <v>0</v>
      </c>
      <c r="E124" s="302">
        <f t="shared" si="20"/>
        <v>0</v>
      </c>
      <c r="F124" s="302">
        <f t="shared" si="20"/>
        <v>0</v>
      </c>
      <c r="G124" s="302">
        <f t="shared" si="20"/>
        <v>0</v>
      </c>
      <c r="H124" s="302">
        <f t="shared" si="20"/>
        <v>0</v>
      </c>
    </row>
    <row r="125" spans="1:12">
      <c r="A125" s="99" t="str">
        <f t="shared" si="19"/>
        <v>Black Gram/Udid</v>
      </c>
      <c r="B125" s="302">
        <f t="shared" si="20"/>
        <v>0</v>
      </c>
      <c r="C125" s="302">
        <f t="shared" si="20"/>
        <v>0</v>
      </c>
      <c r="D125" s="302">
        <f t="shared" si="20"/>
        <v>0</v>
      </c>
      <c r="E125" s="302">
        <f t="shared" si="20"/>
        <v>0</v>
      </c>
      <c r="F125" s="302">
        <f t="shared" si="20"/>
        <v>0</v>
      </c>
      <c r="G125" s="302">
        <f t="shared" si="20"/>
        <v>0</v>
      </c>
      <c r="H125" s="302">
        <f t="shared" si="20"/>
        <v>0</v>
      </c>
    </row>
    <row r="126" spans="1:12">
      <c r="A126" s="99" t="str">
        <f t="shared" si="19"/>
        <v>Bajra</v>
      </c>
      <c r="B126" s="302">
        <f t="shared" si="20"/>
        <v>0</v>
      </c>
      <c r="C126" s="302">
        <f t="shared" si="20"/>
        <v>0</v>
      </c>
      <c r="D126" s="302">
        <f t="shared" si="20"/>
        <v>0</v>
      </c>
      <c r="E126" s="302">
        <f t="shared" si="20"/>
        <v>0</v>
      </c>
      <c r="F126" s="302">
        <f t="shared" si="20"/>
        <v>0</v>
      </c>
      <c r="G126" s="302">
        <f t="shared" si="20"/>
        <v>0</v>
      </c>
      <c r="H126" s="302">
        <f t="shared" si="20"/>
        <v>0</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0</v>
      </c>
      <c r="C129" s="302">
        <f t="shared" si="20"/>
        <v>0</v>
      </c>
      <c r="D129" s="302">
        <f t="shared" si="20"/>
        <v>0</v>
      </c>
      <c r="E129" s="302">
        <f t="shared" si="20"/>
        <v>0</v>
      </c>
      <c r="F129" s="302">
        <f t="shared" si="20"/>
        <v>0</v>
      </c>
      <c r="G129" s="302">
        <f t="shared" si="20"/>
        <v>0</v>
      </c>
      <c r="H129" s="302">
        <f t="shared" si="20"/>
        <v>0</v>
      </c>
    </row>
    <row r="130" spans="1:8">
      <c r="A130" s="99" t="str">
        <f t="shared" si="19"/>
        <v>Paddy/Rice</v>
      </c>
      <c r="B130" s="302">
        <f t="shared" ref="B130:H139" si="21">B78-(B78*$G$6)</f>
        <v>1.5714000000000002E-5</v>
      </c>
      <c r="C130" s="302">
        <f t="shared" si="21"/>
        <v>1.5714000000000002E-5</v>
      </c>
      <c r="D130" s="302">
        <f t="shared" si="21"/>
        <v>1.5714000000000002E-5</v>
      </c>
      <c r="E130" s="302">
        <f t="shared" si="21"/>
        <v>1.5714000000000002E-5</v>
      </c>
      <c r="F130" s="302">
        <f t="shared" si="21"/>
        <v>1.5714000000000002E-5</v>
      </c>
      <c r="G130" s="302">
        <f t="shared" si="21"/>
        <v>1.5714000000000002E-5</v>
      </c>
      <c r="H130" s="302">
        <f t="shared" si="21"/>
        <v>1.5714000000000002E-5</v>
      </c>
    </row>
    <row r="131" spans="1:8">
      <c r="A131" s="99" t="str">
        <f t="shared" si="19"/>
        <v>Jawar</v>
      </c>
      <c r="B131" s="302">
        <f t="shared" si="21"/>
        <v>0</v>
      </c>
      <c r="C131" s="302">
        <f t="shared" si="21"/>
        <v>0</v>
      </c>
      <c r="D131" s="302">
        <f t="shared" si="21"/>
        <v>0</v>
      </c>
      <c r="E131" s="302">
        <f t="shared" si="21"/>
        <v>0</v>
      </c>
      <c r="F131" s="302">
        <f t="shared" si="21"/>
        <v>0</v>
      </c>
      <c r="G131" s="302">
        <f t="shared" si="21"/>
        <v>0</v>
      </c>
      <c r="H131" s="302">
        <f t="shared" si="21"/>
        <v>0</v>
      </c>
    </row>
    <row r="132" spans="1:8">
      <c r="A132" s="99" t="str">
        <f t="shared" si="19"/>
        <v>Maize</v>
      </c>
      <c r="B132" s="302">
        <f t="shared" si="21"/>
        <v>0</v>
      </c>
      <c r="C132" s="302">
        <f t="shared" si="21"/>
        <v>0</v>
      </c>
      <c r="D132" s="302">
        <f t="shared" si="21"/>
        <v>0</v>
      </c>
      <c r="E132" s="302">
        <f t="shared" si="21"/>
        <v>0</v>
      </c>
      <c r="F132" s="302">
        <f t="shared" si="21"/>
        <v>0</v>
      </c>
      <c r="G132" s="302">
        <f t="shared" si="21"/>
        <v>0</v>
      </c>
      <c r="H132" s="302">
        <f t="shared" si="21"/>
        <v>0</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7.5">
      <c r="A170" s="419" t="s">
        <v>600</v>
      </c>
      <c r="B170" s="419"/>
      <c r="C170" s="419"/>
      <c r="D170" s="419"/>
      <c r="E170" s="419"/>
      <c r="F170" s="419"/>
      <c r="G170" s="419"/>
      <c r="H170" s="419"/>
      <c r="I170" s="419"/>
      <c r="J170" s="419"/>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370</v>
      </c>
      <c r="C178" s="261">
        <v>4000</v>
      </c>
      <c r="D178" s="200">
        <f>(B120*(1-'5.Closing Stock &amp; W Capital'!$D$16))*C$178*D172</f>
        <v>0</v>
      </c>
      <c r="E178" s="200">
        <f>((C120*(1-'5.Closing Stock &amp; W Capital'!$D$16))+(B120*'5.Closing Stock &amp; W Capital'!$D$16))*$C178*E$172</f>
        <v>0</v>
      </c>
      <c r="F178" s="200">
        <f>((D120*(1-'5.Closing Stock &amp; W Capital'!$D$16))+(C120*'5.Closing Stock &amp; W Capital'!$D$16))*$C178*F$172</f>
        <v>0</v>
      </c>
      <c r="G178" s="200">
        <f>((E120*(1-'5.Closing Stock &amp; W Capital'!$D$16))+(D120*'5.Closing Stock &amp; W Capital'!$D$16))*$C178*G$172</f>
        <v>0</v>
      </c>
      <c r="H178" s="200">
        <f>((F120*(1-'5.Closing Stock &amp; W Capital'!$D$16))+(E120*'5.Closing Stock &amp; W Capital'!$D$16))*$C178*H$172</f>
        <v>0</v>
      </c>
      <c r="I178" s="200">
        <f>((G120*(1-'5.Closing Stock &amp; W Capital'!$D$16))+(F120*'5.Closing Stock &amp; W Capital'!$D$16))*$C178*I$172</f>
        <v>0</v>
      </c>
      <c r="J178" s="200">
        <f>((H120*(1-'5.Closing Stock &amp; W Capital'!$D$16))+(G120*'5.Closing Stock &amp; W Capital'!$D$16))*$C178*J$172</f>
        <v>0</v>
      </c>
      <c r="K178" s="94"/>
      <c r="L178" s="94"/>
    </row>
    <row r="179" spans="1:12">
      <c r="A179" s="95" t="str">
        <f t="shared" si="32"/>
        <v>Red Gram/Tur</v>
      </c>
      <c r="B179" s="95" t="s">
        <v>370</v>
      </c>
      <c r="C179" s="261">
        <v>6000</v>
      </c>
      <c r="D179" s="200">
        <f>(B121*(1-'5.Closing Stock &amp; W Capital'!$D$16))*$C179*D$172</f>
        <v>0</v>
      </c>
      <c r="E179" s="200">
        <f>((C121*(1-'5.Closing Stock &amp; W Capital'!$D$16))+(B121*'5.Closing Stock &amp; W Capital'!$D$16))*$C179*E$172</f>
        <v>0</v>
      </c>
      <c r="F179" s="200">
        <f>((D121*(1-'5.Closing Stock &amp; W Capital'!$D$16))+(C121*'5.Closing Stock &amp; W Capital'!$D$16))*$C179*F$172</f>
        <v>0</v>
      </c>
      <c r="G179" s="200">
        <f>((E121*(1-'5.Closing Stock &amp; W Capital'!$D$16))+(D121*'5.Closing Stock &amp; W Capital'!$D$16))*$C179*G$172</f>
        <v>0</v>
      </c>
      <c r="H179" s="200">
        <f>((F121*(1-'5.Closing Stock &amp; W Capital'!$D$16))+(E121*'5.Closing Stock &amp; W Capital'!$D$16))*$C179*H$172</f>
        <v>0</v>
      </c>
      <c r="I179" s="200">
        <f>((G121*(1-'5.Closing Stock &amp; W Capital'!$D$16))+(F121*'5.Closing Stock &amp; W Capital'!$D$16))*$C179*I$172</f>
        <v>0</v>
      </c>
      <c r="J179" s="200">
        <f>((H121*(1-'5.Closing Stock &amp; W Capital'!$D$16))+(G121*'5.Closing Stock &amp; W Capital'!$D$16))*$C179*J$172</f>
        <v>0</v>
      </c>
      <c r="K179" s="94"/>
      <c r="L179" s="94"/>
    </row>
    <row r="180" spans="1:12">
      <c r="A180" s="95" t="str">
        <f t="shared" si="32"/>
        <v>Paddy/Rice</v>
      </c>
      <c r="B180" s="95" t="s">
        <v>370</v>
      </c>
      <c r="C180" s="261"/>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370</v>
      </c>
      <c r="C181" s="261">
        <v>6000</v>
      </c>
      <c r="D181" s="200">
        <f>(B123*(1-'5.Closing Stock &amp; W Capital'!$D$16))*$C181*D$172</f>
        <v>0</v>
      </c>
      <c r="E181" s="200">
        <f>((C123*(1-'5.Closing Stock &amp; W Capital'!$D$16))+(B123*'5.Closing Stock &amp; W Capital'!$D$16))*$C181*E$172</f>
        <v>0</v>
      </c>
      <c r="F181" s="200">
        <f>((D123*(1-'5.Closing Stock &amp; W Capital'!$D$16))+(C123*'5.Closing Stock &amp; W Capital'!$D$16))*$C181*F$172</f>
        <v>0</v>
      </c>
      <c r="G181" s="200">
        <f>((E123*(1-'5.Closing Stock &amp; W Capital'!$D$16))+(D123*'5.Closing Stock &amp; W Capital'!$D$16))*$C181*G$172</f>
        <v>0</v>
      </c>
      <c r="H181" s="200">
        <f>((F123*(1-'5.Closing Stock &amp; W Capital'!$D$16))+(E123*'5.Closing Stock &amp; W Capital'!$D$16))*$C181*H$172</f>
        <v>0</v>
      </c>
      <c r="I181" s="200">
        <f>((G123*(1-'5.Closing Stock &amp; W Capital'!$D$16))+(F123*'5.Closing Stock &amp; W Capital'!$D$16))*$C181*I$172</f>
        <v>0</v>
      </c>
      <c r="J181" s="200">
        <f>((H123*(1-'5.Closing Stock &amp; W Capital'!$D$16))+(G123*'5.Closing Stock &amp; W Capital'!$D$16))*$C181*J$172</f>
        <v>0</v>
      </c>
      <c r="K181" s="94"/>
      <c r="L181" s="94"/>
    </row>
    <row r="182" spans="1:12">
      <c r="A182" s="95" t="str">
        <f t="shared" si="32"/>
        <v>Maize</v>
      </c>
      <c r="B182" s="95" t="s">
        <v>370</v>
      </c>
      <c r="C182" s="261"/>
      <c r="D182" s="200">
        <f>(B124*(1-'5.Closing Stock &amp; W Capital'!$D$16))*$C182*D$172</f>
        <v>0</v>
      </c>
      <c r="E182" s="200">
        <f>((C124*(1-'5.Closing Stock &amp; W Capital'!$D$16))+(B124*'5.Closing Stock &amp; W Capital'!$D$16))*$C182*E$172</f>
        <v>0</v>
      </c>
      <c r="F182" s="200">
        <f>((D124*(1-'5.Closing Stock &amp; W Capital'!$D$16))+(C124*'5.Closing Stock &amp; W Capital'!$D$16))*$C182*F$172</f>
        <v>0</v>
      </c>
      <c r="G182" s="200">
        <f>((E124*(1-'5.Closing Stock &amp; W Capital'!$D$16))+(D124*'5.Closing Stock &amp; W Capital'!$D$16))*$C182*G$172</f>
        <v>0</v>
      </c>
      <c r="H182" s="200">
        <f>((F124*(1-'5.Closing Stock &amp; W Capital'!$D$16))+(E124*'5.Closing Stock &amp; W Capital'!$D$16))*$C182*H$172</f>
        <v>0</v>
      </c>
      <c r="I182" s="200">
        <f>((G124*(1-'5.Closing Stock &amp; W Capital'!$D$16))+(F124*'5.Closing Stock &amp; W Capital'!$D$16))*$C182*I$172</f>
        <v>0</v>
      </c>
      <c r="J182" s="200">
        <f>((H124*(1-'5.Closing Stock &amp; W Capital'!$D$16))+(G124*'5.Closing Stock &amp; W Capital'!$D$16))*$C182*J$172</f>
        <v>0</v>
      </c>
      <c r="K182" s="94"/>
      <c r="L182" s="94"/>
    </row>
    <row r="183" spans="1:12">
      <c r="A183" s="95" t="str">
        <f t="shared" si="32"/>
        <v>Black Gram/Udid</v>
      </c>
      <c r="B183" s="95" t="s">
        <v>370</v>
      </c>
      <c r="C183" s="261">
        <v>6500</v>
      </c>
      <c r="D183" s="200">
        <f>(B125*(1-'5.Closing Stock &amp; W Capital'!$D$16))*$C183*D$172</f>
        <v>0</v>
      </c>
      <c r="E183" s="200">
        <f>((C125*(1-'5.Closing Stock &amp; W Capital'!$D$16))+(B125*'5.Closing Stock &amp; W Capital'!$D$16))*$C183*E$172</f>
        <v>0</v>
      </c>
      <c r="F183" s="200">
        <f>((D125*(1-'5.Closing Stock &amp; W Capital'!$D$16))+(C125*'5.Closing Stock &amp; W Capital'!$D$16))*$C183*F$172</f>
        <v>0</v>
      </c>
      <c r="G183" s="200">
        <f>((E125*(1-'5.Closing Stock &amp; W Capital'!$D$16))+(D125*'5.Closing Stock &amp; W Capital'!$D$16))*$C183*G$172</f>
        <v>0</v>
      </c>
      <c r="H183" s="200">
        <f>((F125*(1-'5.Closing Stock &amp; W Capital'!$D$16))+(E125*'5.Closing Stock &amp; W Capital'!$D$16))*$C183*H$172</f>
        <v>0</v>
      </c>
      <c r="I183" s="200">
        <f>((G125*(1-'5.Closing Stock &amp; W Capital'!$D$16))+(F125*'5.Closing Stock &amp; W Capital'!$D$16))*$C183*I$172</f>
        <v>0</v>
      </c>
      <c r="J183" s="200">
        <f>((H125*(1-'5.Closing Stock &amp; W Capital'!$D$16))+(G125*'5.Closing Stock &amp; W Capital'!$D$16))*$C183*J$172</f>
        <v>0</v>
      </c>
      <c r="K183" s="94"/>
      <c r="L183" s="94"/>
    </row>
    <row r="184" spans="1:12">
      <c r="A184" s="95" t="str">
        <f t="shared" si="32"/>
        <v>Bajra</v>
      </c>
      <c r="B184" s="95" t="s">
        <v>370</v>
      </c>
      <c r="C184" s="261">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370</v>
      </c>
      <c r="C185" s="261"/>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370</v>
      </c>
      <c r="C186" s="261"/>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370</v>
      </c>
      <c r="C187" s="261"/>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2"/>
        <v>Paddy/Rice</v>
      </c>
      <c r="B188" s="95" t="s">
        <v>370</v>
      </c>
      <c r="C188" s="261">
        <v>5000</v>
      </c>
      <c r="D188" s="200">
        <f>(B130*(1-'5.Closing Stock &amp; W Capital'!$D$16))*$C188*D$172</f>
        <v>7.46415E-2</v>
      </c>
      <c r="E188" s="200">
        <f>((C130*(1-'5.Closing Stock &amp; W Capital'!$D$16))+(B130*'5.Closing Stock &amp; W Capital'!$D$16))*$C188*E$172</f>
        <v>8.2498500000000016E-2</v>
      </c>
      <c r="F188" s="200">
        <f>((D130*(1-'5.Closing Stock &amp; W Capital'!$D$16))+(C130*'5.Closing Stock &amp; W Capital'!$D$16))*$C188*F$172</f>
        <v>8.6623425000000018E-2</v>
      </c>
      <c r="G188" s="200">
        <f>((E130*(1-'5.Closing Stock &amp; W Capital'!$D$16))+(D130*'5.Closing Stock &amp; W Capital'!$D$16))*$C188*G$172</f>
        <v>9.0954596250000033E-2</v>
      </c>
      <c r="H188" s="200">
        <f>((F130*(1-'5.Closing Stock &amp; W Capital'!$D$16))+(E130*'5.Closing Stock &amp; W Capital'!$D$16))*$C188*H$172</f>
        <v>9.5502326062500031E-2</v>
      </c>
      <c r="I188" s="200">
        <f>((G130*(1-'5.Closing Stock &amp; W Capital'!$D$16))+(F130*'5.Closing Stock &amp; W Capital'!$D$16))*$C188*I$172</f>
        <v>0.10027744236562505</v>
      </c>
      <c r="J188" s="200">
        <f>((H130*(1-'5.Closing Stock &amp; W Capital'!$D$16))+(G130*'5.Closing Stock &amp; W Capital'!$D$16))*$C188*J$172</f>
        <v>0.1052913144839063</v>
      </c>
      <c r="K188" s="94"/>
      <c r="L188" s="94"/>
    </row>
    <row r="189" spans="1:12">
      <c r="A189" s="95" t="str">
        <f t="shared" si="32"/>
        <v>Jawar</v>
      </c>
      <c r="B189" s="95" t="s">
        <v>370</v>
      </c>
      <c r="C189" s="261"/>
      <c r="D189" s="200">
        <f>(B131*(1-'5.Closing Stock &amp; W Capital'!$D$16))*$C189*D$172</f>
        <v>0</v>
      </c>
      <c r="E189" s="200">
        <f>((C131*(1-'5.Closing Stock &amp; W Capital'!$D$16))+(B131*'5.Closing Stock &amp; W Capital'!$D$16))*$C189*E$172</f>
        <v>0</v>
      </c>
      <c r="F189" s="200">
        <f>((D131*(1-'5.Closing Stock &amp; W Capital'!$D$16))+(C131*'5.Closing Stock &amp; W Capital'!$D$16))*$C189*F$172</f>
        <v>0</v>
      </c>
      <c r="G189" s="200">
        <f>((E131*(1-'5.Closing Stock &amp; W Capital'!$D$16))+(D131*'5.Closing Stock &amp; W Capital'!$D$16))*$C189*G$172</f>
        <v>0</v>
      </c>
      <c r="H189" s="200">
        <f>((F131*(1-'5.Closing Stock &amp; W Capital'!$D$16))+(E131*'5.Closing Stock &amp; W Capital'!$D$16))*$C189*H$172</f>
        <v>0</v>
      </c>
      <c r="I189" s="200">
        <f>((G131*(1-'5.Closing Stock &amp; W Capital'!$D$16))+(F131*'5.Closing Stock &amp; W Capital'!$D$16))*$C189*I$172</f>
        <v>0</v>
      </c>
      <c r="J189" s="200">
        <f>((H131*(1-'5.Closing Stock &amp; W Capital'!$D$16))+(G131*'5.Closing Stock &amp; W Capital'!$D$16))*$C189*J$172</f>
        <v>0</v>
      </c>
      <c r="K189" s="94"/>
      <c r="L189" s="94"/>
    </row>
    <row r="190" spans="1:12">
      <c r="A190" s="95" t="str">
        <f t="shared" si="32"/>
        <v>Maize</v>
      </c>
      <c r="B190" s="95" t="s">
        <v>370</v>
      </c>
      <c r="C190" s="261"/>
      <c r="D190" s="200">
        <f>(B132*(1-'5.Closing Stock &amp; W Capital'!$D$16))*$C190*D$172</f>
        <v>0</v>
      </c>
      <c r="E190" s="200">
        <f>((C132*(1-'5.Closing Stock &amp; W Capital'!$D$16))+(B132*'5.Closing Stock &amp; W Capital'!$D$16))*$C190*E$172</f>
        <v>0</v>
      </c>
      <c r="F190" s="200">
        <f>((D132*(1-'5.Closing Stock &amp; W Capital'!$D$16))+(C132*'5.Closing Stock &amp; W Capital'!$D$16))*$C190*F$172</f>
        <v>0</v>
      </c>
      <c r="G190" s="200">
        <f>((E132*(1-'5.Closing Stock &amp; W Capital'!$D$16))+(D132*'5.Closing Stock &amp; W Capital'!$D$16))*$C190*G$172</f>
        <v>0</v>
      </c>
      <c r="H190" s="200">
        <f>((F132*(1-'5.Closing Stock &amp; W Capital'!$D$16))+(E132*'5.Closing Stock &amp; W Capital'!$D$16))*$C190*H$172</f>
        <v>0</v>
      </c>
      <c r="I190" s="200">
        <f>((G132*(1-'5.Closing Stock &amp; W Capital'!$D$16))+(F132*'5.Closing Stock &amp; W Capital'!$D$16))*$C190*I$172</f>
        <v>0</v>
      </c>
      <c r="J190" s="200">
        <f>((H132*(1-'5.Closing Stock &amp; W Capital'!$D$16))+(G132*'5.Closing Stock &amp; W Capital'!$D$16))*$C190*J$172</f>
        <v>0</v>
      </c>
      <c r="K190" s="94"/>
      <c r="L190" s="94"/>
    </row>
    <row r="191" spans="1:12">
      <c r="A191" s="95" t="str">
        <f t="shared" si="32"/>
        <v>Safflower</v>
      </c>
      <c r="B191" s="95" t="s">
        <v>370</v>
      </c>
      <c r="C191" s="261"/>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370</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370</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370</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370</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370</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370</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370</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370</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298</v>
      </c>
      <c r="B200" s="95" t="s">
        <v>370</v>
      </c>
      <c r="C200" s="238">
        <v>50</v>
      </c>
      <c r="D200" s="200">
        <f t="shared" ref="D200:J200" si="33">B65*$C$200*D172</f>
        <v>1.281E-2</v>
      </c>
      <c r="E200" s="200">
        <f t="shared" si="33"/>
        <v>1.3450500000000001E-2</v>
      </c>
      <c r="F200" s="200">
        <f t="shared" si="33"/>
        <v>1.4123025000000001E-2</v>
      </c>
      <c r="G200" s="200">
        <f t="shared" si="33"/>
        <v>1.4829176250000001E-2</v>
      </c>
      <c r="H200" s="200">
        <f t="shared" si="33"/>
        <v>1.5570635062500003E-2</v>
      </c>
      <c r="I200" s="200">
        <f t="shared" si="33"/>
        <v>1.6349166815625003E-2</v>
      </c>
      <c r="J200" s="200">
        <f t="shared" si="33"/>
        <v>1.7166625156406257E-2</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370</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370</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370</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370</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370</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370</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370</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370</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370</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370</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370</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370</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370</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370</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370</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370</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370</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370</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370</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370</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370</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370</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370</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370</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370</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8.7451500000000001E-2</v>
      </c>
      <c r="E229" s="202">
        <f t="shared" si="37"/>
        <v>9.594900000000002E-2</v>
      </c>
      <c r="F229" s="202">
        <f t="shared" si="37"/>
        <v>0.10074645000000002</v>
      </c>
      <c r="G229" s="202">
        <f t="shared" si="37"/>
        <v>0.10578377250000004</v>
      </c>
      <c r="H229" s="202">
        <f t="shared" si="37"/>
        <v>0.11107296112500004</v>
      </c>
      <c r="I229" s="202">
        <f t="shared" si="37"/>
        <v>0.11662660918125006</v>
      </c>
      <c r="J229" s="202">
        <f t="shared" si="37"/>
        <v>0.12245793964031255</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316</v>
      </c>
      <c r="B232" s="97"/>
      <c r="C232" s="95"/>
      <c r="D232" s="95"/>
      <c r="E232" s="95"/>
      <c r="F232" s="95"/>
      <c r="G232" s="95"/>
      <c r="H232" s="95"/>
      <c r="I232" s="95"/>
      <c r="J232" s="95"/>
      <c r="K232" s="94"/>
      <c r="L232" s="94"/>
    </row>
    <row r="233" spans="1:12">
      <c r="A233" s="95" t="str">
        <f t="shared" ref="A233:A254" si="38">A178</f>
        <v>Soybean</v>
      </c>
      <c r="B233" s="95" t="s">
        <v>370</v>
      </c>
      <c r="C233" s="257">
        <v>3800</v>
      </c>
      <c r="D233" s="96">
        <f>B68*$C$233*D$172</f>
        <v>0</v>
      </c>
      <c r="E233" s="96">
        <f>C68*$C$233*E$172</f>
        <v>0</v>
      </c>
      <c r="F233" s="96">
        <f>D68*$C$233*F172</f>
        <v>0</v>
      </c>
      <c r="G233" s="96">
        <f>E68*$C$233*G172</f>
        <v>0</v>
      </c>
      <c r="H233" s="96">
        <f>F68*$C$233*H172</f>
        <v>0</v>
      </c>
      <c r="I233" s="96">
        <f>G68*$C$233*I172</f>
        <v>0</v>
      </c>
      <c r="J233" s="96">
        <f>H68*$C$233*J172</f>
        <v>0</v>
      </c>
      <c r="K233" s="94"/>
      <c r="L233" s="94"/>
    </row>
    <row r="234" spans="1:12">
      <c r="A234" s="95" t="str">
        <f t="shared" si="38"/>
        <v>Red Gram/Tur</v>
      </c>
      <c r="B234" s="95" t="s">
        <v>370</v>
      </c>
      <c r="C234" s="257">
        <v>5800</v>
      </c>
      <c r="D234" s="96">
        <f>B69*$C$234*D$172</f>
        <v>0</v>
      </c>
      <c r="E234" s="96">
        <f t="shared" ref="E234:J234" si="39">C69*$C$234*E172</f>
        <v>0</v>
      </c>
      <c r="F234" s="96">
        <f t="shared" si="39"/>
        <v>0</v>
      </c>
      <c r="G234" s="96">
        <f t="shared" si="39"/>
        <v>0</v>
      </c>
      <c r="H234" s="96">
        <f t="shared" si="39"/>
        <v>0</v>
      </c>
      <c r="I234" s="96">
        <f t="shared" si="39"/>
        <v>0</v>
      </c>
      <c r="J234" s="96">
        <f t="shared" si="39"/>
        <v>0</v>
      </c>
      <c r="K234" s="94"/>
      <c r="L234" s="94"/>
    </row>
    <row r="235" spans="1:12">
      <c r="A235" s="95" t="str">
        <f t="shared" si="38"/>
        <v>Paddy/Rice</v>
      </c>
      <c r="B235" s="95" t="s">
        <v>370</v>
      </c>
      <c r="C235" s="257"/>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370</v>
      </c>
      <c r="C236" s="257">
        <v>5800</v>
      </c>
      <c r="D236" s="96">
        <f t="shared" ref="D236:J236" si="41">B71*$C$236*D$172</f>
        <v>0</v>
      </c>
      <c r="E236" s="96">
        <f t="shared" si="41"/>
        <v>0</v>
      </c>
      <c r="F236" s="96">
        <f t="shared" si="41"/>
        <v>0</v>
      </c>
      <c r="G236" s="96">
        <f t="shared" si="41"/>
        <v>0</v>
      </c>
      <c r="H236" s="96">
        <f t="shared" si="41"/>
        <v>0</v>
      </c>
      <c r="I236" s="96">
        <f t="shared" si="41"/>
        <v>0</v>
      </c>
      <c r="J236" s="96">
        <f t="shared" si="41"/>
        <v>0</v>
      </c>
      <c r="K236" s="94"/>
      <c r="L236" s="94"/>
    </row>
    <row r="237" spans="1:12">
      <c r="A237" s="95" t="str">
        <f t="shared" si="38"/>
        <v>Maize</v>
      </c>
      <c r="B237" s="95" t="s">
        <v>370</v>
      </c>
      <c r="C237" s="257"/>
      <c r="D237" s="96">
        <f t="shared" ref="D237:J237" si="42">B72*$C$237*D$172</f>
        <v>0</v>
      </c>
      <c r="E237" s="96">
        <f t="shared" si="42"/>
        <v>0</v>
      </c>
      <c r="F237" s="96">
        <f t="shared" si="42"/>
        <v>0</v>
      </c>
      <c r="G237" s="96">
        <f t="shared" si="42"/>
        <v>0</v>
      </c>
      <c r="H237" s="96">
        <f t="shared" si="42"/>
        <v>0</v>
      </c>
      <c r="I237" s="96">
        <f t="shared" si="42"/>
        <v>0</v>
      </c>
      <c r="J237" s="96">
        <f t="shared" si="42"/>
        <v>0</v>
      </c>
      <c r="K237" s="94"/>
      <c r="L237" s="94"/>
    </row>
    <row r="238" spans="1:12">
      <c r="A238" s="95" t="str">
        <f t="shared" si="38"/>
        <v>Black Gram/Udid</v>
      </c>
      <c r="B238" s="95" t="s">
        <v>370</v>
      </c>
      <c r="C238" s="257">
        <v>6300</v>
      </c>
      <c r="D238" s="96">
        <f t="shared" ref="D238:J238" si="43">B73*$C$238*D$172</f>
        <v>0</v>
      </c>
      <c r="E238" s="96">
        <f t="shared" si="43"/>
        <v>0</v>
      </c>
      <c r="F238" s="96">
        <f t="shared" si="43"/>
        <v>0</v>
      </c>
      <c r="G238" s="96">
        <f t="shared" si="43"/>
        <v>0</v>
      </c>
      <c r="H238" s="96">
        <f t="shared" si="43"/>
        <v>0</v>
      </c>
      <c r="I238" s="96">
        <f t="shared" si="43"/>
        <v>0</v>
      </c>
      <c r="J238" s="96">
        <f t="shared" si="43"/>
        <v>0</v>
      </c>
      <c r="K238" s="94"/>
      <c r="L238" s="94"/>
    </row>
    <row r="239" spans="1:12">
      <c r="A239" s="95" t="str">
        <f t="shared" si="38"/>
        <v>Bajra</v>
      </c>
      <c r="B239" s="95" t="s">
        <v>370</v>
      </c>
      <c r="C239" s="257">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370</v>
      </c>
      <c r="C240" s="257"/>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370</v>
      </c>
      <c r="C241" s="257"/>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370</v>
      </c>
      <c r="C242" s="257"/>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Paddy/Rice</v>
      </c>
      <c r="B243" s="95" t="s">
        <v>370</v>
      </c>
      <c r="C243" s="257">
        <v>4800</v>
      </c>
      <c r="D243" s="96">
        <f t="shared" ref="D243:J243" si="48">B78*$C$243*D$172</f>
        <v>7.776000000000001E-2</v>
      </c>
      <c r="E243" s="96">
        <f t="shared" si="48"/>
        <v>8.1648000000000012E-2</v>
      </c>
      <c r="F243" s="96">
        <f t="shared" si="48"/>
        <v>8.5730400000000012E-2</v>
      </c>
      <c r="G243" s="96">
        <f t="shared" si="48"/>
        <v>9.0016920000000014E-2</v>
      </c>
      <c r="H243" s="96">
        <f t="shared" si="48"/>
        <v>9.4517766000000031E-2</v>
      </c>
      <c r="I243" s="96">
        <f t="shared" si="48"/>
        <v>9.9243654300000039E-2</v>
      </c>
      <c r="J243" s="96">
        <f t="shared" si="48"/>
        <v>0.10420583701500004</v>
      </c>
      <c r="K243" s="94"/>
      <c r="L243" s="94"/>
    </row>
    <row r="244" spans="1:12">
      <c r="A244" s="95" t="str">
        <f t="shared" si="38"/>
        <v>Jawar</v>
      </c>
      <c r="B244" s="95" t="s">
        <v>370</v>
      </c>
      <c r="C244" s="257"/>
      <c r="D244" s="96">
        <f t="shared" ref="D244:J244" si="49">B79*$C$244*D$172</f>
        <v>0</v>
      </c>
      <c r="E244" s="96">
        <f t="shared" si="49"/>
        <v>0</v>
      </c>
      <c r="F244" s="96">
        <f t="shared" si="49"/>
        <v>0</v>
      </c>
      <c r="G244" s="96">
        <f t="shared" si="49"/>
        <v>0</v>
      </c>
      <c r="H244" s="96">
        <f t="shared" si="49"/>
        <v>0</v>
      </c>
      <c r="I244" s="96">
        <f t="shared" si="49"/>
        <v>0</v>
      </c>
      <c r="J244" s="96">
        <f t="shared" si="49"/>
        <v>0</v>
      </c>
      <c r="K244" s="94"/>
      <c r="L244" s="94"/>
    </row>
    <row r="245" spans="1:12">
      <c r="A245" s="95" t="str">
        <f t="shared" si="38"/>
        <v>Maize</v>
      </c>
      <c r="B245" s="95" t="s">
        <v>370</v>
      </c>
      <c r="C245" s="257"/>
      <c r="D245" s="96">
        <f t="shared" ref="D245:J245" si="50">B80*$C$245*D$172</f>
        <v>0</v>
      </c>
      <c r="E245" s="96">
        <f t="shared" si="50"/>
        <v>0</v>
      </c>
      <c r="F245" s="96">
        <f t="shared" si="50"/>
        <v>0</v>
      </c>
      <c r="G245" s="96">
        <f t="shared" si="50"/>
        <v>0</v>
      </c>
      <c r="H245" s="96">
        <f t="shared" si="50"/>
        <v>0</v>
      </c>
      <c r="I245" s="96">
        <f t="shared" si="50"/>
        <v>0</v>
      </c>
      <c r="J245" s="96">
        <f t="shared" si="50"/>
        <v>0</v>
      </c>
      <c r="K245" s="94"/>
      <c r="L245" s="94"/>
    </row>
    <row r="246" spans="1:12">
      <c r="A246" s="95" t="str">
        <f t="shared" si="38"/>
        <v>Safflower</v>
      </c>
      <c r="B246" s="95" t="s">
        <v>370</v>
      </c>
      <c r="C246" s="257"/>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370</v>
      </c>
      <c r="C247" s="257"/>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370</v>
      </c>
      <c r="C248" s="257"/>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370</v>
      </c>
      <c r="C249" s="257"/>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370</v>
      </c>
      <c r="C250" s="257"/>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370</v>
      </c>
      <c r="C251" s="257"/>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370</v>
      </c>
      <c r="C252" s="257"/>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370</v>
      </c>
      <c r="C253" s="257"/>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370</v>
      </c>
      <c r="C254" s="257"/>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370</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370</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370</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370</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370</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370</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370</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370</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370</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370</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370</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370</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370</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370</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370</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370</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370</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370</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370</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370</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370</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370</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370</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317</v>
      </c>
      <c r="B282" s="233">
        <v>5</v>
      </c>
      <c r="C282" s="233">
        <v>300</v>
      </c>
      <c r="D282" s="96">
        <f t="shared" ref="D282:J282" si="64">B10*$B$282*$C$282*D172</f>
        <v>4.8037499999999999E-3</v>
      </c>
      <c r="E282" s="96">
        <f t="shared" si="64"/>
        <v>5.0439374999999998E-3</v>
      </c>
      <c r="F282" s="96">
        <f t="shared" si="64"/>
        <v>5.2961343749999999E-3</v>
      </c>
      <c r="G282" s="96">
        <f t="shared" si="64"/>
        <v>5.5609410937500006E-3</v>
      </c>
      <c r="H282" s="96">
        <f t="shared" si="64"/>
        <v>5.8389881484375008E-3</v>
      </c>
      <c r="I282" s="96">
        <f t="shared" si="64"/>
        <v>6.1309375558593763E-3</v>
      </c>
      <c r="J282" s="96">
        <f t="shared" si="64"/>
        <v>6.4374844336523452E-3</v>
      </c>
      <c r="K282" s="94"/>
      <c r="L282" s="94"/>
    </row>
    <row r="283" spans="1:12">
      <c r="A283" s="95" t="s">
        <v>145</v>
      </c>
      <c r="B283" s="95">
        <f>'2.Capex Details'!H55*0.746*8</f>
        <v>0</v>
      </c>
      <c r="C283" s="233">
        <v>8</v>
      </c>
      <c r="D283" s="96">
        <f t="shared" ref="D283:J283" si="65">$B$283*$C$283*D172*B10</f>
        <v>0</v>
      </c>
      <c r="E283" s="96">
        <f t="shared" si="65"/>
        <v>0</v>
      </c>
      <c r="F283" s="96">
        <f t="shared" si="65"/>
        <v>0</v>
      </c>
      <c r="G283" s="96">
        <f t="shared" si="65"/>
        <v>0</v>
      </c>
      <c r="H283" s="96">
        <f t="shared" si="65"/>
        <v>0</v>
      </c>
      <c r="I283" s="96">
        <f t="shared" si="65"/>
        <v>0</v>
      </c>
      <c r="J283" s="96">
        <f t="shared" si="65"/>
        <v>0</v>
      </c>
      <c r="K283" s="94"/>
      <c r="L283" s="94"/>
    </row>
    <row r="284" spans="1:12">
      <c r="A284" s="95" t="s">
        <v>471</v>
      </c>
      <c r="B284" s="95"/>
      <c r="C284" s="233">
        <v>30</v>
      </c>
      <c r="D284" s="96">
        <f t="shared" ref="D284:J284" si="66">SUM(B120:B141)*$C$284*D172</f>
        <v>7.4554199999999991E-3</v>
      </c>
      <c r="E284" s="96">
        <f t="shared" si="66"/>
        <v>7.828191E-3</v>
      </c>
      <c r="F284" s="96">
        <f t="shared" si="66"/>
        <v>8.2196005499999992E-3</v>
      </c>
      <c r="G284" s="96">
        <f t="shared" si="66"/>
        <v>8.6305805774999998E-3</v>
      </c>
      <c r="H284" s="96">
        <f t="shared" si="66"/>
        <v>9.062109606375001E-3</v>
      </c>
      <c r="I284" s="96">
        <f t="shared" si="66"/>
        <v>9.5152150866937516E-3</v>
      </c>
      <c r="J284" s="96">
        <f t="shared" si="66"/>
        <v>9.9909758410284388E-3</v>
      </c>
      <c r="K284" s="94"/>
      <c r="L284" s="94"/>
    </row>
    <row r="285" spans="1:12">
      <c r="A285" s="95" t="s">
        <v>470</v>
      </c>
      <c r="B285" s="95"/>
      <c r="C285" s="233">
        <v>30</v>
      </c>
      <c r="D285" s="96">
        <f t="shared" ref="D285:J285" si="67">SUM(B120:B141)*$C$285*D172</f>
        <v>7.4554199999999991E-3</v>
      </c>
      <c r="E285" s="96">
        <f t="shared" si="67"/>
        <v>7.828191E-3</v>
      </c>
      <c r="F285" s="96">
        <f t="shared" si="67"/>
        <v>8.2196005499999992E-3</v>
      </c>
      <c r="G285" s="96">
        <f t="shared" si="67"/>
        <v>8.6305805774999998E-3</v>
      </c>
      <c r="H285" s="96">
        <f t="shared" si="67"/>
        <v>9.062109606375001E-3</v>
      </c>
      <c r="I285" s="96">
        <f t="shared" si="67"/>
        <v>9.5152150866937516E-3</v>
      </c>
      <c r="J285" s="96">
        <f t="shared" si="67"/>
        <v>9.9909758410284388E-3</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349</v>
      </c>
      <c r="B289" s="95"/>
      <c r="C289" s="95"/>
      <c r="D289" s="200"/>
      <c r="E289" s="200">
        <f>'5.Closing Stock &amp; W Capital'!F7</f>
        <v>4.5009585000000008E-3</v>
      </c>
      <c r="F289" s="200">
        <f>'5.Closing Stock &amp; W Capital'!G7</f>
        <v>4.7260064250000009E-3</v>
      </c>
      <c r="G289" s="200">
        <f>'5.Closing Stock &amp; W Capital'!H7</f>
        <v>4.9623067462500007E-3</v>
      </c>
      <c r="H289" s="200">
        <f>'5.Closing Stock &amp; W Capital'!I7</f>
        <v>5.2104220835625017E-3</v>
      </c>
      <c r="I289" s="200">
        <f>'5.Closing Stock &amp; W Capital'!J7</f>
        <v>5.4709431877406275E-3</v>
      </c>
      <c r="J289" s="200">
        <f>'5.Closing Stock &amp; W Capital'!K7</f>
        <v>5.7444903471276587E-3</v>
      </c>
      <c r="K289" s="94"/>
      <c r="L289" s="94"/>
    </row>
    <row r="290" spans="1:20">
      <c r="A290" s="99" t="s">
        <v>350</v>
      </c>
      <c r="B290" s="95"/>
      <c r="C290" s="200"/>
      <c r="D290" s="200">
        <f>'5.Closing Stock &amp; W Capital'!E16</f>
        <v>4.5009585000000008E-3</v>
      </c>
      <c r="E290" s="200">
        <f>'5.Closing Stock &amp; W Capital'!F16</f>
        <v>4.7260064250000009E-3</v>
      </c>
      <c r="F290" s="200">
        <f>'5.Closing Stock &amp; W Capital'!G16</f>
        <v>4.9623067462500007E-3</v>
      </c>
      <c r="G290" s="200">
        <f>'5.Closing Stock &amp; W Capital'!H16</f>
        <v>5.2104220835625017E-3</v>
      </c>
      <c r="H290" s="200">
        <f>'5.Closing Stock &amp; W Capital'!I16</f>
        <v>5.4709431877406275E-3</v>
      </c>
      <c r="I290" s="200">
        <f>'5.Closing Stock &amp; W Capital'!J16</f>
        <v>5.7444903471276587E-3</v>
      </c>
      <c r="J290" s="200">
        <f>'5.Closing Stock &amp; W Capital'!K16</f>
        <v>6.0317148644840413E-3</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327</v>
      </c>
      <c r="B292" s="97"/>
      <c r="C292" s="97"/>
      <c r="D292" s="115">
        <f t="shared" ref="D292:J292" si="68">SUM(D233:D289)-D290</f>
        <v>9.2973631500000015E-2</v>
      </c>
      <c r="E292" s="115">
        <f t="shared" si="68"/>
        <v>0.10212327157500001</v>
      </c>
      <c r="F292" s="115">
        <f t="shared" si="68"/>
        <v>0.10722943515375</v>
      </c>
      <c r="G292" s="115">
        <f t="shared" si="68"/>
        <v>0.11259090691143754</v>
      </c>
      <c r="H292" s="115">
        <f t="shared" si="68"/>
        <v>0.11822045225700942</v>
      </c>
      <c r="I292" s="115">
        <f t="shared" si="68"/>
        <v>0.12413147486985988</v>
      </c>
      <c r="J292" s="115">
        <f t="shared" si="68"/>
        <v>0.13033804861335288</v>
      </c>
      <c r="K292" s="94"/>
      <c r="L292" s="94"/>
      <c r="M292" s="94"/>
      <c r="N292" s="94"/>
      <c r="O292" s="94"/>
      <c r="P292" s="94"/>
      <c r="Q292" s="94"/>
      <c r="R292" s="94"/>
      <c r="S292" s="94"/>
      <c r="T292" s="94"/>
    </row>
    <row r="293" spans="1:20">
      <c r="A293" s="97" t="s">
        <v>314</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33">
        <v>1</v>
      </c>
      <c r="C294" s="257"/>
      <c r="D294" s="96">
        <f t="shared" ref="D294:J294" si="69">$B$294*$C$294*12*D172</f>
        <v>0</v>
      </c>
      <c r="E294" s="96">
        <f t="shared" si="69"/>
        <v>0</v>
      </c>
      <c r="F294" s="96">
        <f t="shared" si="69"/>
        <v>0</v>
      </c>
      <c r="G294" s="96">
        <f t="shared" si="69"/>
        <v>0</v>
      </c>
      <c r="H294" s="96">
        <f t="shared" si="69"/>
        <v>0</v>
      </c>
      <c r="I294" s="96">
        <f t="shared" si="69"/>
        <v>0</v>
      </c>
      <c r="J294" s="96">
        <f t="shared" si="69"/>
        <v>0</v>
      </c>
      <c r="K294" s="94"/>
      <c r="L294" s="94"/>
      <c r="M294" s="94"/>
      <c r="N294" s="94"/>
      <c r="O294" s="94"/>
      <c r="P294" s="94"/>
      <c r="Q294" s="94"/>
      <c r="R294" s="94"/>
      <c r="S294" s="94"/>
      <c r="T294" s="94"/>
    </row>
    <row r="295" spans="1:20">
      <c r="A295" s="95"/>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331</v>
      </c>
      <c r="B301" s="238"/>
      <c r="C301" s="238"/>
      <c r="D301" s="115">
        <f t="shared" ref="D301:J301" si="70">SUM(D294:D300)</f>
        <v>0</v>
      </c>
      <c r="E301" s="115">
        <f t="shared" si="70"/>
        <v>0</v>
      </c>
      <c r="F301" s="115">
        <f t="shared" si="70"/>
        <v>0</v>
      </c>
      <c r="G301" s="115">
        <f t="shared" si="70"/>
        <v>0</v>
      </c>
      <c r="H301" s="115">
        <f t="shared" si="70"/>
        <v>0</v>
      </c>
      <c r="I301" s="115">
        <f t="shared" si="70"/>
        <v>0</v>
      </c>
      <c r="J301" s="115">
        <f t="shared" si="70"/>
        <v>0</v>
      </c>
      <c r="K301" s="94"/>
      <c r="L301" s="94"/>
      <c r="M301" s="94"/>
      <c r="N301" s="204"/>
      <c r="O301" s="94"/>
      <c r="P301" s="94"/>
      <c r="Q301" s="94"/>
      <c r="R301" s="94"/>
      <c r="S301" s="94"/>
      <c r="T301" s="94"/>
    </row>
    <row r="302" spans="1:20">
      <c r="A302" s="97" t="s">
        <v>130</v>
      </c>
      <c r="B302" s="97"/>
      <c r="C302" s="97"/>
      <c r="D302" s="115">
        <f t="shared" ref="D302:J302" si="71">D292+D301</f>
        <v>9.2973631500000015E-2</v>
      </c>
      <c r="E302" s="115">
        <f t="shared" si="71"/>
        <v>0.10212327157500001</v>
      </c>
      <c r="F302" s="115">
        <f t="shared" si="71"/>
        <v>0.10722943515375</v>
      </c>
      <c r="G302" s="115">
        <f t="shared" si="71"/>
        <v>0.11259090691143754</v>
      </c>
      <c r="H302" s="115">
        <f t="shared" si="71"/>
        <v>0.11822045225700942</v>
      </c>
      <c r="I302" s="115">
        <f t="shared" si="71"/>
        <v>0.12413147486985988</v>
      </c>
      <c r="J302" s="115">
        <f t="shared" si="71"/>
        <v>0.13033804861335288</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319</v>
      </c>
      <c r="B305" s="97"/>
      <c r="C305" s="97"/>
      <c r="D305" s="115">
        <f t="shared" ref="D305:J305" si="72">D229-D302</f>
        <v>-5.5221315000000132E-3</v>
      </c>
      <c r="E305" s="115">
        <f t="shared" si="72"/>
        <v>-6.1742715749999871E-3</v>
      </c>
      <c r="F305" s="115">
        <f t="shared" si="72"/>
        <v>-6.4829851537499816E-3</v>
      </c>
      <c r="G305" s="115">
        <f t="shared" si="72"/>
        <v>-6.8071344114375015E-3</v>
      </c>
      <c r="H305" s="115">
        <f t="shared" si="72"/>
        <v>-7.1474911320093815E-3</v>
      </c>
      <c r="I305" s="115">
        <f t="shared" si="72"/>
        <v>-7.5048656886098214E-3</v>
      </c>
      <c r="J305" s="115">
        <f t="shared" si="72"/>
        <v>-7.8801089730403256E-3</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20" t="s">
        <v>432</v>
      </c>
      <c r="B308" s="420"/>
      <c r="C308" s="420"/>
      <c r="D308" s="420"/>
      <c r="E308" s="420"/>
      <c r="F308" s="420"/>
      <c r="G308" s="420"/>
      <c r="H308" s="420"/>
      <c r="I308" s="420"/>
      <c r="J308" s="420"/>
    </row>
    <row r="310" spans="1:20">
      <c r="A310" t="s">
        <v>551</v>
      </c>
    </row>
    <row r="311" spans="1:20">
      <c r="A311">
        <v>1</v>
      </c>
      <c r="B311" t="s">
        <v>564</v>
      </c>
    </row>
    <row r="312" spans="1:20">
      <c r="A312">
        <v>2</v>
      </c>
      <c r="B312" t="s">
        <v>565</v>
      </c>
    </row>
    <row r="313" spans="1:20">
      <c r="A313">
        <v>3</v>
      </c>
      <c r="B313" s="94" t="s">
        <v>617</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zoomScale="80" zoomScaleSheetLayoutView="80" workbookViewId="0">
      <selection activeCell="B13" sqref="B13"/>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s>
  <sheetData>
    <row r="3" spans="1:8" ht="17.5">
      <c r="A3" s="419" t="s">
        <v>601</v>
      </c>
      <c r="B3" s="419"/>
      <c r="C3" s="419"/>
      <c r="D3" s="419"/>
      <c r="E3" s="419"/>
      <c r="F3" s="419"/>
      <c r="G3" s="419"/>
      <c r="H3" s="419"/>
    </row>
    <row r="4" spans="1:8" ht="17.5">
      <c r="A4" s="419" t="s">
        <v>602</v>
      </c>
      <c r="B4" s="419"/>
      <c r="C4" s="419"/>
      <c r="D4" s="419"/>
      <c r="E4" s="419"/>
      <c r="F4" s="419"/>
      <c r="G4" s="419"/>
      <c r="H4" s="419"/>
    </row>
    <row r="5" spans="1:8">
      <c r="A5" s="94" t="s">
        <v>163</v>
      </c>
      <c r="B5" s="250">
        <v>20</v>
      </c>
      <c r="C5" s="94" t="s">
        <v>481</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B32/($B$5*$B$6)</f>
        <v>3.2024999999999998E-6</v>
      </c>
      <c r="C12" s="317">
        <f t="shared" ref="C12:H12" si="0">C32/($B$5*$B$6)</f>
        <v>3.2024999999999998E-6</v>
      </c>
      <c r="D12" s="317">
        <f t="shared" si="0"/>
        <v>3.2024999999999998E-6</v>
      </c>
      <c r="E12" s="317">
        <f t="shared" si="0"/>
        <v>3.2024999999999998E-6</v>
      </c>
      <c r="F12" s="317">
        <f t="shared" si="0"/>
        <v>3.2024999999999998E-6</v>
      </c>
      <c r="G12" s="317">
        <f t="shared" si="0"/>
        <v>3.2024999999999998E-6</v>
      </c>
      <c r="H12" s="317">
        <f t="shared" si="0"/>
        <v>3.2024999999999998E-6</v>
      </c>
    </row>
    <row r="13" spans="1:8">
      <c r="A13" s="95" t="str">
        <f>'10.Grain Production details'!A67</f>
        <v>Soybean</v>
      </c>
      <c r="B13" s="95">
        <f>'10.Grain Production details'!B67</f>
        <v>0</v>
      </c>
      <c r="C13" s="95">
        <f>'10.Grain Production details'!C67</f>
        <v>0</v>
      </c>
      <c r="D13" s="95">
        <f>'10.Grain Production details'!D67</f>
        <v>0</v>
      </c>
      <c r="E13" s="95">
        <f>'10.Grain Production details'!E67</f>
        <v>0</v>
      </c>
      <c r="F13" s="95">
        <f>'10.Grain Production details'!F67</f>
        <v>0</v>
      </c>
      <c r="G13" s="95">
        <f>'10.Grain Production details'!G67</f>
        <v>0</v>
      </c>
      <c r="H13" s="95">
        <f>'10.Grain Production details'!H67</f>
        <v>0</v>
      </c>
    </row>
    <row r="14" spans="1:8">
      <c r="A14" s="95" t="str">
        <f>'10.Grain Production details'!A68</f>
        <v>Red Gram/Tur</v>
      </c>
      <c r="B14" s="95">
        <f>'10.Grain Production details'!B68</f>
        <v>0</v>
      </c>
      <c r="C14" s="95">
        <f>'10.Grain Production details'!C68</f>
        <v>0</v>
      </c>
      <c r="D14" s="95">
        <f>'10.Grain Production details'!D68</f>
        <v>0</v>
      </c>
      <c r="E14" s="95">
        <f>'10.Grain Production details'!E68</f>
        <v>0</v>
      </c>
      <c r="F14" s="95">
        <f>'10.Grain Production details'!F68</f>
        <v>0</v>
      </c>
      <c r="G14" s="95">
        <f>'10.Grain Production details'!G68</f>
        <v>0</v>
      </c>
      <c r="H14" s="95">
        <f>'10.Grain Production details'!H68</f>
        <v>0</v>
      </c>
    </row>
    <row r="15" spans="1:8">
      <c r="A15" s="95" t="str">
        <f>'10.Grain Production details'!A69</f>
        <v>Paddy/Rice</v>
      </c>
      <c r="B15" s="95">
        <f>'10.Grain Production details'!B69</f>
        <v>4.8000000000000001E-4</v>
      </c>
      <c r="C15" s="95">
        <f>'10.Grain Production details'!C69</f>
        <v>4.8000000000000001E-4</v>
      </c>
      <c r="D15" s="95">
        <f>'10.Grain Production details'!D69</f>
        <v>4.8000000000000001E-4</v>
      </c>
      <c r="E15" s="95">
        <f>'10.Grain Production details'!E69</f>
        <v>4.8000000000000001E-4</v>
      </c>
      <c r="F15" s="95">
        <f>'10.Grain Production details'!F69</f>
        <v>4.8000000000000001E-4</v>
      </c>
      <c r="G15" s="95">
        <f>'10.Grain Production details'!G69</f>
        <v>4.8000000000000001E-4</v>
      </c>
      <c r="H15" s="95">
        <f>'10.Grain Production details'!H69</f>
        <v>4.8000000000000001E-4</v>
      </c>
    </row>
    <row r="16" spans="1:8">
      <c r="A16" s="95" t="str">
        <f>'10.Grain Production details'!A70</f>
        <v>Green Gram/ Moong</v>
      </c>
      <c r="B16" s="95">
        <f>'10.Grain Production details'!B70</f>
        <v>0</v>
      </c>
      <c r="C16" s="95">
        <f>'10.Grain Production details'!C70</f>
        <v>0</v>
      </c>
      <c r="D16" s="95">
        <f>'10.Grain Production details'!D70</f>
        <v>0</v>
      </c>
      <c r="E16" s="95">
        <f>'10.Grain Production details'!E70</f>
        <v>0</v>
      </c>
      <c r="F16" s="95">
        <f>'10.Grain Production details'!F70</f>
        <v>0</v>
      </c>
      <c r="G16" s="95">
        <f>'10.Grain Production details'!G70</f>
        <v>0</v>
      </c>
      <c r="H16" s="95">
        <f>'10.Grain Production details'!H70</f>
        <v>0</v>
      </c>
    </row>
    <row r="17" spans="1:8">
      <c r="A17" s="95" t="str">
        <f>'10.Grain Production details'!A71</f>
        <v>Maize</v>
      </c>
      <c r="B17" s="95">
        <f>'10.Grain Production details'!B71</f>
        <v>0</v>
      </c>
      <c r="C17" s="95">
        <f>'10.Grain Production details'!C71</f>
        <v>0</v>
      </c>
      <c r="D17" s="95">
        <f>'10.Grain Production details'!D71</f>
        <v>0</v>
      </c>
      <c r="E17" s="95">
        <f>'10.Grain Production details'!E71</f>
        <v>0</v>
      </c>
      <c r="F17" s="95">
        <f>'10.Grain Production details'!F71</f>
        <v>0</v>
      </c>
      <c r="G17" s="95">
        <f>'10.Grain Production details'!G71</f>
        <v>0</v>
      </c>
      <c r="H17" s="95">
        <f>'10.Grain Production details'!H71</f>
        <v>0</v>
      </c>
    </row>
    <row r="18" spans="1:8">
      <c r="A18" s="95" t="str">
        <f>'10.Grain Production details'!A72</f>
        <v>Black Gram/Udid</v>
      </c>
      <c r="B18" s="95">
        <f>'10.Grain Production details'!B72</f>
        <v>0</v>
      </c>
      <c r="C18" s="95">
        <f>'10.Grain Production details'!C72</f>
        <v>0</v>
      </c>
      <c r="D18" s="95">
        <f>'10.Grain Production details'!D72</f>
        <v>0</v>
      </c>
      <c r="E18" s="95">
        <f>'10.Grain Production details'!E72</f>
        <v>0</v>
      </c>
      <c r="F18" s="95">
        <f>'10.Grain Production details'!F72</f>
        <v>0</v>
      </c>
      <c r="G18" s="95">
        <f>'10.Grain Production details'!G72</f>
        <v>0</v>
      </c>
      <c r="H18" s="95">
        <f>'10.Grain Production details'!H72</f>
        <v>0</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Paddy/Rice</v>
      </c>
      <c r="B23" s="95">
        <f>'10.Grain Production details'!B77</f>
        <v>3.2400000000000001E-5</v>
      </c>
      <c r="C23" s="95">
        <f>'10.Grain Production details'!C77</f>
        <v>3.2400000000000001E-5</v>
      </c>
      <c r="D23" s="95">
        <f>'10.Grain Production details'!D77</f>
        <v>3.2400000000000001E-5</v>
      </c>
      <c r="E23" s="95">
        <f>'10.Grain Production details'!E77</f>
        <v>3.2400000000000001E-5</v>
      </c>
      <c r="F23" s="95">
        <f>'10.Grain Production details'!F77</f>
        <v>3.2400000000000001E-5</v>
      </c>
      <c r="G23" s="95">
        <f>'10.Grain Production details'!G77</f>
        <v>3.2400000000000001E-5</v>
      </c>
      <c r="H23" s="95">
        <f>'10.Grain Production details'!H77</f>
        <v>3.2400000000000001E-5</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0</v>
      </c>
      <c r="C25" s="95">
        <f>'10.Grain Production details'!C79</f>
        <v>0</v>
      </c>
      <c r="D25" s="95">
        <f>'10.Grain Production details'!D79</f>
        <v>0</v>
      </c>
      <c r="E25" s="95">
        <f>'10.Grain Production details'!E79</f>
        <v>0</v>
      </c>
      <c r="F25" s="95">
        <f>'10.Grain Production details'!F79</f>
        <v>0</v>
      </c>
      <c r="G25" s="95">
        <f>'10.Grain Production details'!G79</f>
        <v>0</v>
      </c>
      <c r="H25" s="95">
        <f>'10.Grain Production details'!H79</f>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472</v>
      </c>
      <c r="B32" s="95">
        <f>SUM(B13:B31)</f>
        <v>5.1239999999999999E-4</v>
      </c>
      <c r="C32" s="95">
        <f t="shared" ref="C32:H32" si="1">SUM(C13:C31)</f>
        <v>5.1239999999999999E-4</v>
      </c>
      <c r="D32" s="95">
        <f t="shared" si="1"/>
        <v>5.1239999999999999E-4</v>
      </c>
      <c r="E32" s="95">
        <f t="shared" si="1"/>
        <v>5.1239999999999999E-4</v>
      </c>
      <c r="F32" s="95">
        <f t="shared" si="1"/>
        <v>5.1239999999999999E-4</v>
      </c>
      <c r="G32" s="95">
        <f t="shared" si="1"/>
        <v>5.1239999999999999E-4</v>
      </c>
      <c r="H32" s="95">
        <f t="shared" si="1"/>
        <v>5.1239999999999999E-4</v>
      </c>
    </row>
    <row r="33" spans="1:8">
      <c r="A33" s="327" t="s">
        <v>167</v>
      </c>
      <c r="B33" s="282">
        <v>0.5</v>
      </c>
      <c r="C33" s="282">
        <f>B33</f>
        <v>0.5</v>
      </c>
      <c r="D33" s="282">
        <f t="shared" ref="D33:H33" si="2">C33</f>
        <v>0.5</v>
      </c>
      <c r="E33" s="282">
        <f t="shared" si="2"/>
        <v>0.5</v>
      </c>
      <c r="F33" s="282">
        <f t="shared" si="2"/>
        <v>0.5</v>
      </c>
      <c r="G33" s="282">
        <f t="shared" si="2"/>
        <v>0.5</v>
      </c>
      <c r="H33" s="282">
        <f t="shared" si="2"/>
        <v>0.5</v>
      </c>
    </row>
    <row r="34" spans="1:8">
      <c r="A34" s="99" t="s">
        <v>482</v>
      </c>
      <c r="B34" s="328">
        <f>1-B33</f>
        <v>0.5</v>
      </c>
      <c r="C34" s="328">
        <f t="shared" ref="C34:H34" si="3">1-C33</f>
        <v>0.5</v>
      </c>
      <c r="D34" s="328">
        <f t="shared" si="3"/>
        <v>0.5</v>
      </c>
      <c r="E34" s="328">
        <f t="shared" si="3"/>
        <v>0.5</v>
      </c>
      <c r="F34" s="328">
        <f t="shared" si="3"/>
        <v>0.5</v>
      </c>
      <c r="G34" s="328">
        <f t="shared" si="3"/>
        <v>0.5</v>
      </c>
      <c r="H34" s="328">
        <f t="shared" si="3"/>
        <v>0.5</v>
      </c>
    </row>
    <row r="35" spans="1:8">
      <c r="A35" s="97" t="s">
        <v>167</v>
      </c>
      <c r="B35" s="261">
        <f>B32*B33</f>
        <v>2.5619999999999999E-4</v>
      </c>
      <c r="C35" s="261">
        <f t="shared" ref="C35:H35" si="4">C32*C33</f>
        <v>2.5619999999999999E-4</v>
      </c>
      <c r="D35" s="261">
        <f t="shared" si="4"/>
        <v>2.5619999999999999E-4</v>
      </c>
      <c r="E35" s="261">
        <f t="shared" si="4"/>
        <v>2.5619999999999999E-4</v>
      </c>
      <c r="F35" s="261">
        <f t="shared" si="4"/>
        <v>2.5619999999999999E-4</v>
      </c>
      <c r="G35" s="261">
        <f t="shared" si="4"/>
        <v>2.5619999999999999E-4</v>
      </c>
      <c r="H35" s="261">
        <f t="shared" si="4"/>
        <v>2.5619999999999999E-4</v>
      </c>
    </row>
    <row r="36" spans="1:8">
      <c r="A36" s="97" t="s">
        <v>168</v>
      </c>
      <c r="B36" s="115"/>
      <c r="C36" s="115"/>
      <c r="D36" s="115"/>
      <c r="E36" s="115"/>
      <c r="F36" s="115"/>
      <c r="G36" s="115"/>
      <c r="H36" s="115"/>
    </row>
    <row r="37" spans="1:8">
      <c r="A37" s="95" t="str">
        <f t="shared" ref="A37:A55" si="5">A13</f>
        <v>Soybean</v>
      </c>
      <c r="B37" s="96">
        <f t="shared" ref="B37:B55" si="6">B13*$B$34</f>
        <v>0</v>
      </c>
      <c r="C37" s="96">
        <f t="shared" ref="C37:H37" si="7">C13*$B$34</f>
        <v>0</v>
      </c>
      <c r="D37" s="96">
        <f t="shared" si="7"/>
        <v>0</v>
      </c>
      <c r="E37" s="96">
        <f t="shared" si="7"/>
        <v>0</v>
      </c>
      <c r="F37" s="96">
        <f t="shared" si="7"/>
        <v>0</v>
      </c>
      <c r="G37" s="96">
        <f t="shared" si="7"/>
        <v>0</v>
      </c>
      <c r="H37" s="96">
        <f t="shared" si="7"/>
        <v>0</v>
      </c>
    </row>
    <row r="38" spans="1:8">
      <c r="A38" s="95" t="str">
        <f t="shared" si="5"/>
        <v>Red Gram/Tur</v>
      </c>
      <c r="B38" s="96">
        <f t="shared" si="6"/>
        <v>0</v>
      </c>
      <c r="C38" s="96">
        <f t="shared" ref="C38:C55" si="8">C14*$C$34</f>
        <v>0</v>
      </c>
      <c r="D38" s="96">
        <f t="shared" ref="D38:D55" si="9">D14*$D$34</f>
        <v>0</v>
      </c>
      <c r="E38" s="96">
        <f t="shared" ref="E38:E55" si="10">E14*$E$34</f>
        <v>0</v>
      </c>
      <c r="F38" s="96">
        <f t="shared" ref="F38:F55" si="11">F14*$F$34</f>
        <v>0</v>
      </c>
      <c r="G38" s="96">
        <f t="shared" ref="G38:G55" si="12">G14*$G$34</f>
        <v>0</v>
      </c>
      <c r="H38" s="96">
        <f t="shared" ref="H38:H55" si="13">H14*$H$34</f>
        <v>0</v>
      </c>
    </row>
    <row r="39" spans="1:8">
      <c r="A39" s="95" t="str">
        <f t="shared" si="5"/>
        <v>Paddy/Rice</v>
      </c>
      <c r="B39" s="96">
        <f t="shared" si="6"/>
        <v>2.4000000000000001E-4</v>
      </c>
      <c r="C39" s="96">
        <f t="shared" si="8"/>
        <v>2.4000000000000001E-4</v>
      </c>
      <c r="D39" s="96">
        <f t="shared" si="9"/>
        <v>2.4000000000000001E-4</v>
      </c>
      <c r="E39" s="96">
        <f t="shared" si="10"/>
        <v>2.4000000000000001E-4</v>
      </c>
      <c r="F39" s="96">
        <f t="shared" si="11"/>
        <v>2.4000000000000001E-4</v>
      </c>
      <c r="G39" s="96">
        <f t="shared" si="12"/>
        <v>2.4000000000000001E-4</v>
      </c>
      <c r="H39" s="96">
        <f t="shared" si="13"/>
        <v>2.4000000000000001E-4</v>
      </c>
    </row>
    <row r="40" spans="1:8">
      <c r="A40" s="95" t="str">
        <f t="shared" si="5"/>
        <v>Green Gram/ Moong</v>
      </c>
      <c r="B40" s="96">
        <f t="shared" si="6"/>
        <v>0</v>
      </c>
      <c r="C40" s="96">
        <f t="shared" si="8"/>
        <v>0</v>
      </c>
      <c r="D40" s="96">
        <f t="shared" si="9"/>
        <v>0</v>
      </c>
      <c r="E40" s="96">
        <f t="shared" si="10"/>
        <v>0</v>
      </c>
      <c r="F40" s="96">
        <f t="shared" si="11"/>
        <v>0</v>
      </c>
      <c r="G40" s="96">
        <f t="shared" si="12"/>
        <v>0</v>
      </c>
      <c r="H40" s="96">
        <f t="shared" si="13"/>
        <v>0</v>
      </c>
    </row>
    <row r="41" spans="1:8">
      <c r="A41" s="95" t="str">
        <f t="shared" si="5"/>
        <v>Maize</v>
      </c>
      <c r="B41" s="96">
        <f t="shared" si="6"/>
        <v>0</v>
      </c>
      <c r="C41" s="96">
        <f t="shared" si="8"/>
        <v>0</v>
      </c>
      <c r="D41" s="96">
        <f t="shared" si="9"/>
        <v>0</v>
      </c>
      <c r="E41" s="96">
        <f t="shared" si="10"/>
        <v>0</v>
      </c>
      <c r="F41" s="96">
        <f t="shared" si="11"/>
        <v>0</v>
      </c>
      <c r="G41" s="96">
        <f t="shared" si="12"/>
        <v>0</v>
      </c>
      <c r="H41" s="96">
        <f t="shared" si="13"/>
        <v>0</v>
      </c>
    </row>
    <row r="42" spans="1:8">
      <c r="A42" s="95" t="str">
        <f t="shared" si="5"/>
        <v>Black Gram/Udid</v>
      </c>
      <c r="B42" s="96">
        <f t="shared" si="6"/>
        <v>0</v>
      </c>
      <c r="C42" s="96">
        <f t="shared" si="8"/>
        <v>0</v>
      </c>
      <c r="D42" s="96">
        <f t="shared" si="9"/>
        <v>0</v>
      </c>
      <c r="E42" s="96">
        <f t="shared" si="10"/>
        <v>0</v>
      </c>
      <c r="F42" s="96">
        <f t="shared" si="11"/>
        <v>0</v>
      </c>
      <c r="G42" s="96">
        <f t="shared" si="12"/>
        <v>0</v>
      </c>
      <c r="H42" s="96">
        <f t="shared" si="13"/>
        <v>0</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0</v>
      </c>
      <c r="C46" s="96">
        <f t="shared" si="8"/>
        <v>0</v>
      </c>
      <c r="D46" s="96">
        <f t="shared" si="9"/>
        <v>0</v>
      </c>
      <c r="E46" s="96">
        <f t="shared" si="10"/>
        <v>0</v>
      </c>
      <c r="F46" s="96">
        <f t="shared" si="11"/>
        <v>0</v>
      </c>
      <c r="G46" s="96">
        <f t="shared" si="12"/>
        <v>0</v>
      </c>
      <c r="H46" s="96">
        <f t="shared" si="13"/>
        <v>0</v>
      </c>
    </row>
    <row r="47" spans="1:8">
      <c r="A47" s="95" t="str">
        <f t="shared" si="5"/>
        <v>Paddy/Rice</v>
      </c>
      <c r="B47" s="96">
        <f t="shared" si="6"/>
        <v>1.6200000000000001E-5</v>
      </c>
      <c r="C47" s="96">
        <f t="shared" si="8"/>
        <v>1.6200000000000001E-5</v>
      </c>
      <c r="D47" s="96">
        <f t="shared" si="9"/>
        <v>1.6200000000000001E-5</v>
      </c>
      <c r="E47" s="96">
        <f t="shared" si="10"/>
        <v>1.6200000000000001E-5</v>
      </c>
      <c r="F47" s="96">
        <f t="shared" si="11"/>
        <v>1.6200000000000001E-5</v>
      </c>
      <c r="G47" s="96">
        <f t="shared" si="12"/>
        <v>1.6200000000000001E-5</v>
      </c>
      <c r="H47" s="96">
        <f t="shared" si="13"/>
        <v>1.6200000000000001E-5</v>
      </c>
    </row>
    <row r="48" spans="1:8">
      <c r="A48" s="95" t="str">
        <f t="shared" si="5"/>
        <v>Jawar</v>
      </c>
      <c r="B48" s="96">
        <f t="shared" si="6"/>
        <v>0</v>
      </c>
      <c r="C48" s="96">
        <f t="shared" si="8"/>
        <v>0</v>
      </c>
      <c r="D48" s="96">
        <f t="shared" si="9"/>
        <v>0</v>
      </c>
      <c r="E48" s="96">
        <f t="shared" si="10"/>
        <v>0</v>
      </c>
      <c r="F48" s="96">
        <f t="shared" si="11"/>
        <v>0</v>
      </c>
      <c r="G48" s="96">
        <f t="shared" si="12"/>
        <v>0</v>
      </c>
      <c r="H48" s="96">
        <f t="shared" si="13"/>
        <v>0</v>
      </c>
    </row>
    <row r="49" spans="1:8">
      <c r="A49" s="95" t="str">
        <f t="shared" si="5"/>
        <v>Maize</v>
      </c>
      <c r="B49" s="96">
        <f t="shared" si="6"/>
        <v>0</v>
      </c>
      <c r="C49" s="96">
        <f t="shared" si="8"/>
        <v>0</v>
      </c>
      <c r="D49" s="96">
        <f t="shared" si="9"/>
        <v>0</v>
      </c>
      <c r="E49" s="96">
        <f t="shared" si="10"/>
        <v>0</v>
      </c>
      <c r="F49" s="96">
        <f t="shared" si="11"/>
        <v>0</v>
      </c>
      <c r="G49" s="96">
        <f t="shared" si="12"/>
        <v>0</v>
      </c>
      <c r="H49" s="96">
        <f t="shared" si="13"/>
        <v>0</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f t="shared" si="5"/>
        <v>0</v>
      </c>
      <c r="B51" s="96">
        <f t="shared" si="6"/>
        <v>0</v>
      </c>
      <c r="C51" s="96">
        <f t="shared" si="8"/>
        <v>0</v>
      </c>
      <c r="D51" s="96">
        <f t="shared" si="9"/>
        <v>0</v>
      </c>
      <c r="E51" s="96">
        <f t="shared" si="10"/>
        <v>0</v>
      </c>
      <c r="F51" s="96">
        <f t="shared" si="11"/>
        <v>0</v>
      </c>
      <c r="G51" s="96">
        <f t="shared" si="12"/>
        <v>0</v>
      </c>
      <c r="H51" s="96">
        <f t="shared" si="13"/>
        <v>0</v>
      </c>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289</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473</v>
      </c>
      <c r="B63" s="191">
        <f>B38*80%</f>
        <v>0</v>
      </c>
      <c r="C63" s="191">
        <f t="shared" ref="C63:H63" si="14">C38*80%</f>
        <v>0</v>
      </c>
      <c r="D63" s="191">
        <f t="shared" si="14"/>
        <v>0</v>
      </c>
      <c r="E63" s="191">
        <f t="shared" si="14"/>
        <v>0</v>
      </c>
      <c r="F63" s="191">
        <f t="shared" si="14"/>
        <v>0</v>
      </c>
      <c r="G63" s="191">
        <f t="shared" si="14"/>
        <v>0</v>
      </c>
      <c r="H63" s="191">
        <f t="shared" si="14"/>
        <v>0</v>
      </c>
    </row>
    <row r="64" spans="1:8">
      <c r="A64" s="95" t="s">
        <v>142</v>
      </c>
      <c r="B64" s="191">
        <f>B38*20%</f>
        <v>0</v>
      </c>
      <c r="C64" s="191">
        <f t="shared" ref="C64:H64" si="15">C38*20%</f>
        <v>0</v>
      </c>
      <c r="D64" s="191">
        <f t="shared" si="15"/>
        <v>0</v>
      </c>
      <c r="E64" s="191">
        <f t="shared" si="15"/>
        <v>0</v>
      </c>
      <c r="F64" s="191">
        <f t="shared" si="15"/>
        <v>0</v>
      </c>
      <c r="G64" s="191">
        <f t="shared" si="15"/>
        <v>0</v>
      </c>
      <c r="H64" s="191">
        <f t="shared" si="15"/>
        <v>0</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473</v>
      </c>
      <c r="B70" s="96">
        <f>B40*80%</f>
        <v>0</v>
      </c>
      <c r="C70" s="96">
        <f t="shared" ref="C70:H70" si="16">C40*80%</f>
        <v>0</v>
      </c>
      <c r="D70" s="96">
        <f t="shared" si="16"/>
        <v>0</v>
      </c>
      <c r="E70" s="96">
        <f t="shared" si="16"/>
        <v>0</v>
      </c>
      <c r="F70" s="96">
        <f t="shared" si="16"/>
        <v>0</v>
      </c>
      <c r="G70" s="96">
        <f t="shared" si="16"/>
        <v>0</v>
      </c>
      <c r="H70" s="96">
        <f t="shared" si="16"/>
        <v>0</v>
      </c>
    </row>
    <row r="71" spans="1:8">
      <c r="A71" s="95" t="s">
        <v>142</v>
      </c>
      <c r="B71" s="96">
        <f>B40*20%</f>
        <v>0</v>
      </c>
      <c r="C71" s="96">
        <f t="shared" ref="C71:H71" si="17">C40*20%</f>
        <v>0</v>
      </c>
      <c r="D71" s="96">
        <f t="shared" si="17"/>
        <v>0</v>
      </c>
      <c r="E71" s="96">
        <f t="shared" si="17"/>
        <v>0</v>
      </c>
      <c r="F71" s="96">
        <f t="shared" si="17"/>
        <v>0</v>
      </c>
      <c r="G71" s="96">
        <f t="shared" si="17"/>
        <v>0</v>
      </c>
      <c r="H71" s="96">
        <f t="shared" si="17"/>
        <v>0</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473</v>
      </c>
      <c r="B78" s="96">
        <f t="shared" ref="B78:H78" si="18">B42*80%</f>
        <v>0</v>
      </c>
      <c r="C78" s="96">
        <f t="shared" si="18"/>
        <v>0</v>
      </c>
      <c r="D78" s="96">
        <f t="shared" si="18"/>
        <v>0</v>
      </c>
      <c r="E78" s="96">
        <f t="shared" si="18"/>
        <v>0</v>
      </c>
      <c r="F78" s="96">
        <f t="shared" si="18"/>
        <v>0</v>
      </c>
      <c r="G78" s="96">
        <f t="shared" si="18"/>
        <v>0</v>
      </c>
      <c r="H78" s="96">
        <f t="shared" si="18"/>
        <v>0</v>
      </c>
    </row>
    <row r="79" spans="1:8">
      <c r="A79" s="95" t="s">
        <v>142</v>
      </c>
      <c r="B79" s="96">
        <f t="shared" ref="B79:H79" si="19">B42*20%</f>
        <v>0</v>
      </c>
      <c r="C79" s="96">
        <f t="shared" si="19"/>
        <v>0</v>
      </c>
      <c r="D79" s="96">
        <f t="shared" si="19"/>
        <v>0</v>
      </c>
      <c r="E79" s="96">
        <f t="shared" si="19"/>
        <v>0</v>
      </c>
      <c r="F79" s="96">
        <f t="shared" si="19"/>
        <v>0</v>
      </c>
      <c r="G79" s="96">
        <f t="shared" si="19"/>
        <v>0</v>
      </c>
      <c r="H79" s="96">
        <f t="shared" si="19"/>
        <v>0</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Paddy/Rice</v>
      </c>
      <c r="B94" s="96"/>
      <c r="C94" s="96"/>
      <c r="D94" s="96"/>
      <c r="E94" s="96"/>
      <c r="F94" s="96"/>
      <c r="G94" s="96"/>
      <c r="H94" s="96"/>
    </row>
    <row r="95" spans="1:8">
      <c r="A95" s="95" t="s">
        <v>473</v>
      </c>
      <c r="B95" s="96">
        <f t="shared" ref="B95:H95" si="20">B47*80%</f>
        <v>1.2960000000000001E-5</v>
      </c>
      <c r="C95" s="96">
        <f t="shared" si="20"/>
        <v>1.2960000000000001E-5</v>
      </c>
      <c r="D95" s="96">
        <f t="shared" si="20"/>
        <v>1.2960000000000001E-5</v>
      </c>
      <c r="E95" s="96">
        <f t="shared" si="20"/>
        <v>1.2960000000000001E-5</v>
      </c>
      <c r="F95" s="96">
        <f t="shared" si="20"/>
        <v>1.2960000000000001E-5</v>
      </c>
      <c r="G95" s="96">
        <f t="shared" si="20"/>
        <v>1.2960000000000001E-5</v>
      </c>
      <c r="H95" s="96">
        <f t="shared" si="20"/>
        <v>1.2960000000000001E-5</v>
      </c>
    </row>
    <row r="96" spans="1:8">
      <c r="A96" s="95" t="s">
        <v>142</v>
      </c>
      <c r="B96" s="96">
        <f t="shared" ref="B96:H96" si="21">B47*20%</f>
        <v>3.2400000000000003E-6</v>
      </c>
      <c r="C96" s="96">
        <f t="shared" si="21"/>
        <v>3.2400000000000003E-6</v>
      </c>
      <c r="D96" s="96">
        <f t="shared" si="21"/>
        <v>3.2400000000000003E-6</v>
      </c>
      <c r="E96" s="96">
        <f t="shared" si="21"/>
        <v>3.2400000000000003E-6</v>
      </c>
      <c r="F96" s="96">
        <f t="shared" si="21"/>
        <v>3.2400000000000003E-6</v>
      </c>
      <c r="G96" s="96">
        <f t="shared" si="21"/>
        <v>3.2400000000000003E-6</v>
      </c>
      <c r="H96" s="96">
        <f t="shared" si="21"/>
        <v>3.2400000000000003E-6</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459</v>
      </c>
      <c r="B124">
        <v>50</v>
      </c>
    </row>
    <row r="131" spans="1:10" ht="17.5">
      <c r="A131" s="419" t="s">
        <v>603</v>
      </c>
      <c r="B131" s="419"/>
      <c r="C131" s="419"/>
      <c r="D131" s="419"/>
      <c r="E131" s="419"/>
      <c r="F131" s="419"/>
      <c r="G131" s="419"/>
      <c r="H131" s="419"/>
      <c r="I131" s="419"/>
      <c r="J131" s="419"/>
    </row>
    <row r="132" spans="1:10">
      <c r="A132" s="60"/>
      <c r="B132" s="62"/>
      <c r="C132" s="62"/>
      <c r="D132" s="60"/>
      <c r="E132" s="60"/>
      <c r="F132" s="60"/>
      <c r="G132" s="60"/>
      <c r="H132" s="60"/>
    </row>
    <row r="133" spans="1:10">
      <c r="A133" s="192"/>
      <c r="B133" s="192"/>
      <c r="C133" s="192"/>
      <c r="D133" s="193">
        <v>1</v>
      </c>
      <c r="E133" s="194">
        <f>(D133*5%)+D133</f>
        <v>1.05</v>
      </c>
      <c r="F133" s="194">
        <f t="shared" ref="F133:J133" si="22">(E133*5%)+E133</f>
        <v>1.1025</v>
      </c>
      <c r="G133" s="194">
        <f t="shared" si="22"/>
        <v>1.1576250000000001</v>
      </c>
      <c r="H133" s="194">
        <f t="shared" si="22"/>
        <v>1.2155062500000002</v>
      </c>
      <c r="I133" s="194">
        <f t="shared" si="22"/>
        <v>1.2762815625000004</v>
      </c>
      <c r="J133" s="194">
        <f t="shared" si="22"/>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171</v>
      </c>
      <c r="J135" s="120" t="s">
        <v>170</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322</v>
      </c>
      <c r="B138" s="97"/>
      <c r="C138" s="97"/>
      <c r="D138" s="95"/>
      <c r="E138" s="95"/>
      <c r="F138" s="95"/>
      <c r="G138" s="95"/>
      <c r="H138" s="95"/>
      <c r="I138" s="95"/>
      <c r="J138" s="95"/>
    </row>
    <row r="139" spans="1:10">
      <c r="A139" s="95" t="s">
        <v>165</v>
      </c>
      <c r="B139" s="233" t="s">
        <v>368</v>
      </c>
      <c r="C139" s="233">
        <f>70*50</f>
        <v>3500</v>
      </c>
      <c r="D139" s="96">
        <f>(((B95*100)*(1-'5.Closing Stock &amp; W Capital'!$D$17))/$B$124)*$C$139*D133</f>
        <v>8.6183999999999997E-2</v>
      </c>
      <c r="E139" s="96">
        <f>E133*((((C95*100)*(1-'5.Closing Stock &amp; W Capital'!$D$17))+((B95*100)*'5.Closing Stock &amp; W Capital'!$D$17))/$B$124)*$C$139</f>
        <v>9.5256000000000021E-2</v>
      </c>
      <c r="F139" s="96">
        <f>F133*((((D95*100)*(1-'5.Closing Stock &amp; W Capital'!$D$17))+((C95*100)*'5.Closing Stock &amp; W Capital'!$D$17))/$B$124)*$C$139</f>
        <v>0.10001880000000002</v>
      </c>
      <c r="G139" s="96">
        <f>G133*((((E95*100)*(1-'5.Closing Stock &amp; W Capital'!$D$17))+((D95*100)*'5.Closing Stock &amp; W Capital'!$D$17))/$B$124)*$C$139</f>
        <v>0.10501974000000001</v>
      </c>
      <c r="H139" s="96">
        <f>H133*((((F95*100)*(1-'5.Closing Stock &amp; W Capital'!$D$17))+((E95*100)*'5.Closing Stock &amp; W Capital'!$D$17))/$B$124)*$C$139</f>
        <v>0.11027072700000003</v>
      </c>
      <c r="I139" s="96">
        <f>I133*((((G95*100)*(1-'5.Closing Stock &amp; W Capital'!$D$17))+((F95*100)*'5.Closing Stock &amp; W Capital'!$D$17))/$B$124)*$C$139</f>
        <v>0.11578426335000004</v>
      </c>
      <c r="J139" s="96">
        <f>J133*((((H95*100)*(1-'5.Closing Stock &amp; W Capital'!$D$17))+((G95*100)*'5.Closing Stock &amp; W Capital'!$D$17))/$B$124)*$C$139</f>
        <v>0.12157347651750006</v>
      </c>
    </row>
    <row r="140" spans="1:10">
      <c r="A140" s="95" t="s">
        <v>166</v>
      </c>
      <c r="B140" s="233" t="s">
        <v>368</v>
      </c>
      <c r="C140" s="233">
        <f>75*50</f>
        <v>3750</v>
      </c>
      <c r="D140" s="96">
        <f>(((B63*100)*(1-'5.Closing Stock &amp; W Capital'!$D$17))/B124)*$C$140*D133</f>
        <v>0</v>
      </c>
      <c r="E140" s="96">
        <f>((((C63*100)*(1-'5.Closing Stock &amp; W Capital'!$D$17))+((B63*100)*'5.Closing Stock &amp; W Capital'!$D$17))/$B$124)*$C$140*E133</f>
        <v>0</v>
      </c>
      <c r="F140" s="96">
        <f>((((D63*100)*(1-'5.Closing Stock &amp; W Capital'!$D$17))+((C63*100)*'5.Closing Stock &amp; W Capital'!$D$17))/$B$124)*$C$140*F133</f>
        <v>0</v>
      </c>
      <c r="G140" s="96">
        <f>((((E63*100)*(1-'5.Closing Stock &amp; W Capital'!$D$17))+((D63*100)*'5.Closing Stock &amp; W Capital'!$D$17))/$B$124)*$C$140*G133</f>
        <v>0</v>
      </c>
      <c r="H140" s="96">
        <f>((((F63*100)*(1-'5.Closing Stock &amp; W Capital'!$D$17))+((E63*100)*'5.Closing Stock &amp; W Capital'!$D$17))/$B$124)*$C$140*H133</f>
        <v>0</v>
      </c>
      <c r="I140" s="96">
        <f>((((G63*100)*(1-'5.Closing Stock &amp; W Capital'!$D$17))+((F63*100)*'5.Closing Stock &amp; W Capital'!$D$17))/$B$124)*$C$140*I133</f>
        <v>0</v>
      </c>
      <c r="J140" s="96">
        <f>((((H63*100)*(1-'5.Closing Stock &amp; W Capital'!$D$17))+((G63*100)*'5.Closing Stock &amp; W Capital'!$D$17))/$B$124)*$C$140*J133</f>
        <v>0</v>
      </c>
    </row>
    <row r="141" spans="1:10">
      <c r="A141" s="95" t="s">
        <v>323</v>
      </c>
      <c r="B141" s="233" t="s">
        <v>368</v>
      </c>
      <c r="C141" s="233">
        <f>80*50</f>
        <v>4000</v>
      </c>
      <c r="D141" s="96">
        <f>(((B78*100)*(1-'5.Closing Stock &amp; W Capital'!D17))/$B$124)*$C$141*D133</f>
        <v>0</v>
      </c>
      <c r="E141" s="96">
        <f>((((C78*100)*(1-'5.Closing Stock &amp; W Capital'!$D$17))+((B78*100)*'5.Closing Stock &amp; W Capital'!$D$17))/$B$124)*$C$141*E133</f>
        <v>0</v>
      </c>
      <c r="F141" s="96">
        <f>((((D78*100)*(1-'5.Closing Stock &amp; W Capital'!$D$17))+((C78*100)*'5.Closing Stock &amp; W Capital'!$D$17))/$B$124)*$C$141*F133</f>
        <v>0</v>
      </c>
      <c r="G141" s="96">
        <f>((((E78*100)*(1-'5.Closing Stock &amp; W Capital'!$D$17))+((D78*100)*'5.Closing Stock &amp; W Capital'!$D$17))/$B$124)*$C$141*G133</f>
        <v>0</v>
      </c>
      <c r="H141" s="96">
        <f>((((F78*100)*(1-'5.Closing Stock &amp; W Capital'!$D$17))+((E78*100)*'5.Closing Stock &amp; W Capital'!$D$17))/$B$124)*$C$141*H133</f>
        <v>0</v>
      </c>
      <c r="I141" s="96">
        <f>((((G78*100)*(1-'5.Closing Stock &amp; W Capital'!$D$17))+((F78*100)*'5.Closing Stock &amp; W Capital'!$D$17))/$B$124)*$C$141*I133</f>
        <v>0</v>
      </c>
      <c r="J141" s="96">
        <f>((((H78*100)*(1-'5.Closing Stock &amp; W Capital'!$D$17))+((G78*100)*'5.Closing Stock &amp; W Capital'!$D$17))/$B$124)*$C$141*J133</f>
        <v>0</v>
      </c>
    </row>
    <row r="142" spans="1:10">
      <c r="A142" s="95" t="s">
        <v>321</v>
      </c>
      <c r="B142" s="233" t="s">
        <v>368</v>
      </c>
      <c r="C142" s="233">
        <f>80*50</f>
        <v>4000</v>
      </c>
      <c r="D142" s="96">
        <f>(((B70*100)*(1-'5.Closing Stock &amp; W Capital'!D17))/B124)*$C$142*D133</f>
        <v>0</v>
      </c>
      <c r="E142" s="96">
        <f>((((C70*100)*(1-'5.Closing Stock &amp; W Capital'!$D$17))+((B70*100)*'5.Closing Stock &amp; W Capital'!$D$17))/$B$124)*$C$142*E133</f>
        <v>0</v>
      </c>
      <c r="F142" s="96">
        <f>((((D70*100)*(1-'5.Closing Stock &amp; W Capital'!$D$17))+((C70*100)*'5.Closing Stock &amp; W Capital'!$D$17))/$B$124)*$C$142*F133</f>
        <v>0</v>
      </c>
      <c r="G142" s="96">
        <f>((((E70*100)*(1-'5.Closing Stock &amp; W Capital'!$D$17))+((D70*100)*'5.Closing Stock &amp; W Capital'!$D$17))/$B$124)*$C$142*G133</f>
        <v>0</v>
      </c>
      <c r="H142" s="96">
        <f>((((F70*100)*(1-'5.Closing Stock &amp; W Capital'!$D$17))+((E70*100)*'5.Closing Stock &amp; W Capital'!$D$17))/$B$124)*$C$142*H133</f>
        <v>0</v>
      </c>
      <c r="I142" s="96">
        <f>((((G70*100)*(1-'5.Closing Stock &amp; W Capital'!$D$17))+((F70*100)*'5.Closing Stock &amp; W Capital'!$D$17))/$B$124)*$C$142*I133</f>
        <v>0</v>
      </c>
      <c r="J142" s="96">
        <f>((((H70*100)*(1-'5.Closing Stock &amp; W Capital'!$D$17))+((G70*100)*'5.Closing Stock &amp; W Capital'!$D$17))/$B$124)*$C$142*J133</f>
        <v>0</v>
      </c>
    </row>
    <row r="143" spans="1:10">
      <c r="A143" s="95"/>
      <c r="B143" s="95"/>
      <c r="C143" s="95"/>
      <c r="D143" s="96"/>
      <c r="E143" s="96"/>
      <c r="F143" s="96"/>
      <c r="G143" s="96"/>
      <c r="H143" s="96"/>
      <c r="I143" s="96"/>
      <c r="J143" s="96"/>
    </row>
    <row r="144" spans="1:10">
      <c r="A144" s="97" t="s">
        <v>142</v>
      </c>
      <c r="B144" s="238" t="s">
        <v>369</v>
      </c>
      <c r="C144" s="238">
        <v>10</v>
      </c>
      <c r="D144" s="96">
        <f t="shared" ref="D144:J144" si="23">((B63+B95+B78+B70)*100)*$C$144*D133</f>
        <v>1.2960000000000001E-2</v>
      </c>
      <c r="E144" s="96">
        <f t="shared" si="23"/>
        <v>1.3608000000000002E-2</v>
      </c>
      <c r="F144" s="96">
        <f t="shared" si="23"/>
        <v>1.4288400000000001E-2</v>
      </c>
      <c r="G144" s="96">
        <f t="shared" si="23"/>
        <v>1.5002820000000004E-2</v>
      </c>
      <c r="H144" s="96">
        <f t="shared" si="23"/>
        <v>1.5752961000000003E-2</v>
      </c>
      <c r="I144" s="96">
        <f t="shared" si="23"/>
        <v>1.6540609050000005E-2</v>
      </c>
      <c r="J144" s="96">
        <f t="shared" si="23"/>
        <v>1.7367639502500008E-2</v>
      </c>
    </row>
    <row r="145" spans="1:11">
      <c r="A145" s="95"/>
      <c r="B145" s="233"/>
      <c r="C145" s="233"/>
      <c r="D145" s="96"/>
      <c r="E145" s="96"/>
      <c r="F145" s="96"/>
      <c r="G145" s="96"/>
      <c r="H145" s="96"/>
      <c r="I145" s="96"/>
      <c r="J145" s="96"/>
      <c r="K145" s="63">
        <f>[2]Output!T58*70*K133</f>
        <v>0</v>
      </c>
    </row>
    <row r="146" spans="1:11">
      <c r="A146" s="97" t="s">
        <v>298</v>
      </c>
      <c r="B146" s="238" t="s">
        <v>369</v>
      </c>
      <c r="C146" s="233">
        <v>6</v>
      </c>
      <c r="D146" s="96">
        <f t="shared" ref="D146:J146" si="24">(B35*100)*$C$146*D133</f>
        <v>0.15372</v>
      </c>
      <c r="E146" s="96">
        <f t="shared" si="24"/>
        <v>0.16140599999999999</v>
      </c>
      <c r="F146" s="96">
        <f t="shared" si="24"/>
        <v>0.1694763</v>
      </c>
      <c r="G146" s="96">
        <f t="shared" si="24"/>
        <v>0.17795011500000002</v>
      </c>
      <c r="H146" s="96">
        <f t="shared" si="24"/>
        <v>0.18684762075000003</v>
      </c>
      <c r="I146" s="96">
        <f t="shared" si="24"/>
        <v>0.19619000178750004</v>
      </c>
      <c r="J146" s="96">
        <f t="shared" si="24"/>
        <v>0.20599950187687505</v>
      </c>
    </row>
    <row r="147" spans="1:11">
      <c r="A147" s="95"/>
      <c r="B147" s="95"/>
      <c r="C147" s="95"/>
      <c r="D147" s="96"/>
      <c r="E147" s="96"/>
      <c r="F147" s="96"/>
      <c r="G147" s="96"/>
      <c r="H147" s="96"/>
      <c r="I147" s="96"/>
      <c r="J147" s="96"/>
    </row>
    <row r="148" spans="1:11">
      <c r="A148" s="97" t="s">
        <v>127</v>
      </c>
      <c r="B148" s="97"/>
      <c r="C148" s="97"/>
      <c r="D148" s="115">
        <f>SUM(D139:D146)</f>
        <v>0.25286399999999998</v>
      </c>
      <c r="E148" s="115">
        <f t="shared" ref="E148:J148" si="25">SUM(E139:E146)</f>
        <v>0.27027000000000001</v>
      </c>
      <c r="F148" s="115">
        <f t="shared" si="25"/>
        <v>0.28378350000000002</v>
      </c>
      <c r="G148" s="115">
        <f t="shared" si="25"/>
        <v>0.29797267500000002</v>
      </c>
      <c r="H148" s="115">
        <f t="shared" si="25"/>
        <v>0.31287130875000002</v>
      </c>
      <c r="I148" s="115">
        <f t="shared" si="25"/>
        <v>0.32851487418750008</v>
      </c>
      <c r="J148" s="115">
        <f t="shared" si="25"/>
        <v>0.34494061789687513</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316</v>
      </c>
      <c r="B151" s="97"/>
      <c r="C151" s="95"/>
      <c r="D151" s="96"/>
      <c r="E151" s="96"/>
      <c r="F151" s="96"/>
      <c r="G151" s="96"/>
      <c r="H151" s="96"/>
      <c r="I151" s="96"/>
      <c r="J151" s="96"/>
    </row>
    <row r="152" spans="1:11">
      <c r="A152" s="99" t="s">
        <v>165</v>
      </c>
      <c r="B152" s="233" t="s">
        <v>370</v>
      </c>
      <c r="C152" s="257">
        <v>4800</v>
      </c>
      <c r="D152" s="96">
        <f t="shared" ref="D152:J152" si="26">(B47)*$C$152*D133</f>
        <v>7.776000000000001E-2</v>
      </c>
      <c r="E152" s="96">
        <f t="shared" si="26"/>
        <v>8.1648000000000012E-2</v>
      </c>
      <c r="F152" s="96">
        <f t="shared" si="26"/>
        <v>8.5730400000000012E-2</v>
      </c>
      <c r="G152" s="96">
        <f t="shared" si="26"/>
        <v>9.0016920000000014E-2</v>
      </c>
      <c r="H152" s="96">
        <f t="shared" si="26"/>
        <v>9.4517766000000031E-2</v>
      </c>
      <c r="I152" s="96">
        <f t="shared" si="26"/>
        <v>9.9243654300000039E-2</v>
      </c>
      <c r="J152" s="96">
        <f t="shared" si="26"/>
        <v>0.10420583701500004</v>
      </c>
    </row>
    <row r="153" spans="1:11">
      <c r="A153" s="95" t="s">
        <v>324</v>
      </c>
      <c r="B153" s="233" t="s">
        <v>370</v>
      </c>
      <c r="C153" s="257">
        <v>5800</v>
      </c>
      <c r="D153" s="96">
        <f t="shared" ref="D153:J153" si="27">(B38)*$C$153*D133</f>
        <v>0</v>
      </c>
      <c r="E153" s="96">
        <f t="shared" si="27"/>
        <v>0</v>
      </c>
      <c r="F153" s="96">
        <f t="shared" si="27"/>
        <v>0</v>
      </c>
      <c r="G153" s="96">
        <f t="shared" si="27"/>
        <v>0</v>
      </c>
      <c r="H153" s="96">
        <f t="shared" si="27"/>
        <v>0</v>
      </c>
      <c r="I153" s="96">
        <f t="shared" si="27"/>
        <v>0</v>
      </c>
      <c r="J153" s="96">
        <f t="shared" si="27"/>
        <v>0</v>
      </c>
    </row>
    <row r="154" spans="1:11">
      <c r="A154" s="95" t="s">
        <v>325</v>
      </c>
      <c r="B154" s="233" t="s">
        <v>370</v>
      </c>
      <c r="C154" s="257">
        <v>5800</v>
      </c>
      <c r="D154" s="96">
        <f t="shared" ref="D154:J154" si="28">(B42)*$C$154*D133</f>
        <v>0</v>
      </c>
      <c r="E154" s="96">
        <f t="shared" si="28"/>
        <v>0</v>
      </c>
      <c r="F154" s="96">
        <f t="shared" si="28"/>
        <v>0</v>
      </c>
      <c r="G154" s="96">
        <f t="shared" si="28"/>
        <v>0</v>
      </c>
      <c r="H154" s="96">
        <f t="shared" si="28"/>
        <v>0</v>
      </c>
      <c r="I154" s="96">
        <f t="shared" si="28"/>
        <v>0</v>
      </c>
      <c r="J154" s="96">
        <f t="shared" si="28"/>
        <v>0</v>
      </c>
    </row>
    <row r="155" spans="1:11">
      <c r="A155" s="95" t="s">
        <v>321</v>
      </c>
      <c r="B155" s="233" t="s">
        <v>370</v>
      </c>
      <c r="C155" s="257">
        <v>6200</v>
      </c>
      <c r="D155" s="96">
        <f t="shared" ref="D155:J155" si="29">(B40)*$C$155*D133</f>
        <v>0</v>
      </c>
      <c r="E155" s="96">
        <f t="shared" si="29"/>
        <v>0</v>
      </c>
      <c r="F155" s="96">
        <f t="shared" si="29"/>
        <v>0</v>
      </c>
      <c r="G155" s="96">
        <f t="shared" si="29"/>
        <v>0</v>
      </c>
      <c r="H155" s="96">
        <f t="shared" si="29"/>
        <v>0</v>
      </c>
      <c r="I155" s="96">
        <f t="shared" si="29"/>
        <v>0</v>
      </c>
      <c r="J155" s="96">
        <f t="shared" si="29"/>
        <v>0</v>
      </c>
    </row>
    <row r="156" spans="1:11">
      <c r="A156" s="95" t="s">
        <v>371</v>
      </c>
      <c r="B156" s="233">
        <v>2</v>
      </c>
      <c r="C156" s="233">
        <v>100</v>
      </c>
      <c r="D156" s="96">
        <f t="shared" ref="D156:J156" si="30">(B32/10)*$B$156*$C$156*D133</f>
        <v>1.0248E-2</v>
      </c>
      <c r="E156" s="96">
        <f t="shared" si="30"/>
        <v>1.07604E-2</v>
      </c>
      <c r="F156" s="96">
        <f t="shared" si="30"/>
        <v>1.129842E-2</v>
      </c>
      <c r="G156" s="96">
        <f t="shared" si="30"/>
        <v>1.1863341000000001E-2</v>
      </c>
      <c r="H156" s="96">
        <f t="shared" si="30"/>
        <v>1.2456508050000002E-2</v>
      </c>
      <c r="I156" s="96">
        <f t="shared" si="30"/>
        <v>1.3079333452500003E-2</v>
      </c>
      <c r="J156" s="96">
        <f t="shared" si="30"/>
        <v>1.3733300125125004E-2</v>
      </c>
    </row>
    <row r="157" spans="1:11">
      <c r="A157" s="95" t="s">
        <v>326</v>
      </c>
      <c r="B157" s="233">
        <v>3</v>
      </c>
      <c r="C157" s="233">
        <v>300</v>
      </c>
      <c r="D157" s="96">
        <f t="shared" ref="D157:J157" si="31">B12*$B$157*$C$157*D133</f>
        <v>2.8822499999999998E-3</v>
      </c>
      <c r="E157" s="96">
        <f t="shared" si="31"/>
        <v>3.0263625000000001E-3</v>
      </c>
      <c r="F157" s="96">
        <f t="shared" si="31"/>
        <v>3.1776806250000001E-3</v>
      </c>
      <c r="G157" s="96">
        <f t="shared" si="31"/>
        <v>3.3365646562500003E-3</v>
      </c>
      <c r="H157" s="96">
        <f t="shared" si="31"/>
        <v>3.5033928890625004E-3</v>
      </c>
      <c r="I157" s="96">
        <f t="shared" si="31"/>
        <v>3.678562533515626E-3</v>
      </c>
      <c r="J157" s="96">
        <f t="shared" si="31"/>
        <v>3.8624906601914073E-3</v>
      </c>
    </row>
    <row r="158" spans="1:11">
      <c r="A158" s="95" t="s">
        <v>145</v>
      </c>
      <c r="B158" s="95">
        <f>'2.Capex Details'!H47*0.746*8</f>
        <v>0</v>
      </c>
      <c r="C158" s="233">
        <v>8</v>
      </c>
      <c r="D158" s="96">
        <f t="shared" ref="D158:J158" si="32">$B$158*$C$158*B12*D133</f>
        <v>0</v>
      </c>
      <c r="E158" s="96">
        <f t="shared" si="32"/>
        <v>0</v>
      </c>
      <c r="F158" s="96">
        <f t="shared" si="32"/>
        <v>0</v>
      </c>
      <c r="G158" s="96">
        <f t="shared" si="32"/>
        <v>0</v>
      </c>
      <c r="H158" s="96">
        <f t="shared" si="32"/>
        <v>0</v>
      </c>
      <c r="I158" s="96">
        <f t="shared" si="32"/>
        <v>0</v>
      </c>
      <c r="J158" s="96">
        <f t="shared" si="32"/>
        <v>0</v>
      </c>
    </row>
    <row r="159" spans="1:11">
      <c r="A159" s="95" t="s">
        <v>299</v>
      </c>
      <c r="B159" s="95"/>
      <c r="C159" s="233">
        <v>10</v>
      </c>
      <c r="D159" s="96">
        <f t="shared" ref="D159:J159" si="33">((B35*100)/50)*$C$159*D133</f>
        <v>5.1240000000000001E-3</v>
      </c>
      <c r="E159" s="96">
        <f t="shared" si="33"/>
        <v>5.3801999999999999E-3</v>
      </c>
      <c r="F159" s="96">
        <f t="shared" si="33"/>
        <v>5.64921E-3</v>
      </c>
      <c r="G159" s="96">
        <f t="shared" si="33"/>
        <v>5.9316705000000006E-3</v>
      </c>
      <c r="H159" s="96">
        <f t="shared" si="33"/>
        <v>6.2282540250000011E-3</v>
      </c>
      <c r="I159" s="96">
        <f t="shared" si="33"/>
        <v>6.5396667262500015E-3</v>
      </c>
      <c r="J159" s="96">
        <f t="shared" si="33"/>
        <v>6.8666500625625022E-3</v>
      </c>
    </row>
    <row r="160" spans="1:11">
      <c r="A160" s="109" t="s">
        <v>300</v>
      </c>
      <c r="B160" s="109"/>
      <c r="C160" s="259">
        <v>20</v>
      </c>
      <c r="D160" s="96">
        <f t="shared" ref="D160:J160" si="34">(((B78+B69+B95+B63)*100)/50)*$C$160*D133</f>
        <v>5.1840000000000002E-4</v>
      </c>
      <c r="E160" s="96">
        <f t="shared" si="34"/>
        <v>5.4432000000000005E-4</v>
      </c>
      <c r="F160" s="96">
        <f t="shared" si="34"/>
        <v>5.7153600000000009E-4</v>
      </c>
      <c r="G160" s="96">
        <f t="shared" si="34"/>
        <v>6.0011280000000014E-4</v>
      </c>
      <c r="H160" s="96">
        <f t="shared" si="34"/>
        <v>6.3011844000000013E-4</v>
      </c>
      <c r="I160" s="96">
        <f t="shared" si="34"/>
        <v>6.6162436200000027E-4</v>
      </c>
      <c r="J160" s="96">
        <f t="shared" si="34"/>
        <v>6.9470558010000026E-4</v>
      </c>
    </row>
    <row r="161" spans="1:10">
      <c r="A161" s="95" t="s">
        <v>301</v>
      </c>
      <c r="B161" s="95"/>
      <c r="C161" s="233">
        <v>100</v>
      </c>
      <c r="D161" s="96">
        <f t="shared" ref="D161:J161" si="35">(((B78+B69+B95+B63)*100)/50)*$C$161*D133</f>
        <v>2.5920000000000001E-3</v>
      </c>
      <c r="E161" s="96">
        <f t="shared" si="35"/>
        <v>2.7216000000000002E-3</v>
      </c>
      <c r="F161" s="96">
        <f t="shared" si="35"/>
        <v>2.85768E-3</v>
      </c>
      <c r="G161" s="96">
        <f t="shared" si="35"/>
        <v>3.0005640000000003E-3</v>
      </c>
      <c r="H161" s="96">
        <f t="shared" si="35"/>
        <v>3.1505922000000007E-3</v>
      </c>
      <c r="I161" s="96">
        <f t="shared" si="35"/>
        <v>3.3081218100000009E-3</v>
      </c>
      <c r="J161" s="96">
        <f t="shared" si="35"/>
        <v>3.4735279005000011E-3</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349</v>
      </c>
      <c r="B166" s="96"/>
      <c r="C166" s="96"/>
      <c r="D166" s="96"/>
      <c r="E166" s="96">
        <f>'5.Closing Stock &amp; W Capital'!F8</f>
        <v>4.8266325000000006E-3</v>
      </c>
      <c r="F166" s="96">
        <f>'5.Closing Stock &amp; W Capital'!G8</f>
        <v>5.0679641250000011E-3</v>
      </c>
      <c r="G166" s="96">
        <f>'5.Closing Stock &amp; W Capital'!H8</f>
        <v>5.321362331250001E-3</v>
      </c>
      <c r="H166" s="96">
        <f>'5.Closing Stock &amp; W Capital'!I8</f>
        <v>5.5874304478125006E-3</v>
      </c>
      <c r="I166" s="96">
        <f>'5.Closing Stock &amp; W Capital'!J8</f>
        <v>5.8668019702031275E-3</v>
      </c>
      <c r="J166" s="96">
        <f>'5.Closing Stock &amp; W Capital'!K8</f>
        <v>6.1601420687132846E-3</v>
      </c>
    </row>
    <row r="167" spans="1:10">
      <c r="A167" s="195" t="s">
        <v>350</v>
      </c>
      <c r="B167" s="96"/>
      <c r="C167" s="96"/>
      <c r="D167" s="96">
        <f>'5.Closing Stock &amp; W Capital'!E17</f>
        <v>4.8266325000000006E-3</v>
      </c>
      <c r="E167" s="96">
        <f>'5.Closing Stock &amp; W Capital'!F17</f>
        <v>5.0679641250000011E-3</v>
      </c>
      <c r="F167" s="96">
        <f>'5.Closing Stock &amp; W Capital'!G17</f>
        <v>5.321362331250001E-3</v>
      </c>
      <c r="G167" s="96">
        <f>'5.Closing Stock &amp; W Capital'!H17</f>
        <v>5.5874304478125006E-3</v>
      </c>
      <c r="H167" s="96">
        <f>'5.Closing Stock &amp; W Capital'!I17</f>
        <v>5.8668019702031275E-3</v>
      </c>
      <c r="I167" s="96">
        <f>'5.Closing Stock &amp; W Capital'!J17</f>
        <v>6.1601420687132846E-3</v>
      </c>
      <c r="J167" s="96">
        <f>'5.Closing Stock &amp; W Capital'!K17</f>
        <v>6.468149172148949E-3</v>
      </c>
    </row>
    <row r="168" spans="1:10">
      <c r="A168" s="96"/>
      <c r="B168" s="96"/>
      <c r="C168" s="96"/>
      <c r="D168" s="96"/>
      <c r="E168" s="96"/>
      <c r="F168" s="96"/>
      <c r="G168" s="96"/>
      <c r="H168" s="96"/>
      <c r="I168" s="96"/>
      <c r="J168" s="96"/>
    </row>
    <row r="169" spans="1:10">
      <c r="A169" s="115" t="s">
        <v>327</v>
      </c>
      <c r="B169" s="96"/>
      <c r="C169" s="96"/>
      <c r="D169" s="115">
        <f>SUM(D152:D166)-D167</f>
        <v>9.4298017500000011E-2</v>
      </c>
      <c r="E169" s="115">
        <f>SUM(E152:E166)-E167</f>
        <v>0.10383955087500002</v>
      </c>
      <c r="F169" s="115">
        <f t="shared" ref="F169:J169" si="36">SUM(F152:F166)-F167</f>
        <v>0.10903152841875002</v>
      </c>
      <c r="G169" s="115">
        <f t="shared" si="36"/>
        <v>0.1144831048396875</v>
      </c>
      <c r="H169" s="115">
        <f t="shared" si="36"/>
        <v>0.12020726008167192</v>
      </c>
      <c r="I169" s="115">
        <f t="shared" si="36"/>
        <v>0.12621762308575551</v>
      </c>
      <c r="J169" s="115">
        <f t="shared" si="36"/>
        <v>0.13252850424004334</v>
      </c>
    </row>
    <row r="170" spans="1:10">
      <c r="A170" s="94"/>
      <c r="B170" s="94"/>
      <c r="C170" s="94"/>
      <c r="D170" s="94"/>
      <c r="E170" s="94"/>
      <c r="F170" s="94"/>
      <c r="G170" s="94"/>
      <c r="H170" s="94"/>
      <c r="I170" s="94"/>
      <c r="J170" s="94"/>
    </row>
    <row r="171" spans="1:10">
      <c r="A171" s="196" t="s">
        <v>314</v>
      </c>
      <c r="B171" s="196"/>
      <c r="C171" s="196"/>
      <c r="D171" s="115"/>
      <c r="E171" s="115"/>
      <c r="F171" s="115"/>
      <c r="G171" s="115"/>
      <c r="H171" s="115"/>
      <c r="I171" s="115"/>
      <c r="J171" s="115"/>
    </row>
    <row r="172" spans="1:10">
      <c r="A172" s="95" t="s">
        <v>190</v>
      </c>
      <c r="B172" s="233">
        <v>1</v>
      </c>
      <c r="C172" s="257"/>
      <c r="D172" s="96">
        <f t="shared" ref="D172:J172" si="37">$B$172*$C$172*12*D133</f>
        <v>0</v>
      </c>
      <c r="E172" s="96">
        <f t="shared" si="37"/>
        <v>0</v>
      </c>
      <c r="F172" s="96">
        <f t="shared" si="37"/>
        <v>0</v>
      </c>
      <c r="G172" s="96">
        <f t="shared" si="37"/>
        <v>0</v>
      </c>
      <c r="H172" s="96">
        <f t="shared" si="37"/>
        <v>0</v>
      </c>
      <c r="I172" s="96">
        <f t="shared" si="37"/>
        <v>0</v>
      </c>
      <c r="J172" s="96">
        <f t="shared" si="37"/>
        <v>0</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314</v>
      </c>
      <c r="B177" s="97"/>
      <c r="C177" s="97"/>
      <c r="D177" s="115">
        <f t="shared" ref="D177:J177" si="38">SUM(D172:D176)</f>
        <v>0</v>
      </c>
      <c r="E177" s="115">
        <f t="shared" si="38"/>
        <v>0</v>
      </c>
      <c r="F177" s="115">
        <f t="shared" si="38"/>
        <v>0</v>
      </c>
      <c r="G177" s="115">
        <f t="shared" si="38"/>
        <v>0</v>
      </c>
      <c r="H177" s="115">
        <f t="shared" si="38"/>
        <v>0</v>
      </c>
      <c r="I177" s="115">
        <f t="shared" si="38"/>
        <v>0</v>
      </c>
      <c r="J177" s="115">
        <f t="shared" si="38"/>
        <v>0</v>
      </c>
    </row>
    <row r="178" spans="1:10">
      <c r="A178" s="196" t="s">
        <v>302</v>
      </c>
      <c r="B178" s="196"/>
      <c r="C178" s="196"/>
      <c r="D178" s="115">
        <f t="shared" ref="D178:J178" si="39">D169+D177</f>
        <v>9.4298017500000011E-2</v>
      </c>
      <c r="E178" s="115">
        <f t="shared" si="39"/>
        <v>0.10383955087500002</v>
      </c>
      <c r="F178" s="115">
        <f t="shared" si="39"/>
        <v>0.10903152841875002</v>
      </c>
      <c r="G178" s="115">
        <f t="shared" si="39"/>
        <v>0.1144831048396875</v>
      </c>
      <c r="H178" s="115">
        <f t="shared" si="39"/>
        <v>0.12020726008167192</v>
      </c>
      <c r="I178" s="115">
        <f t="shared" si="39"/>
        <v>0.12621762308575551</v>
      </c>
      <c r="J178" s="115">
        <f t="shared" si="39"/>
        <v>0.13252850424004334</v>
      </c>
    </row>
    <row r="179" spans="1:10">
      <c r="A179" s="95"/>
      <c r="B179" s="95"/>
      <c r="C179" s="95"/>
      <c r="D179" s="96"/>
      <c r="E179" s="96"/>
      <c r="F179" s="96"/>
      <c r="G179" s="96"/>
      <c r="H179" s="96"/>
      <c r="I179" s="96"/>
      <c r="J179" s="96"/>
    </row>
    <row r="180" spans="1:10">
      <c r="A180" s="97" t="s">
        <v>7</v>
      </c>
      <c r="B180" s="97"/>
      <c r="C180" s="97"/>
      <c r="D180" s="115">
        <f t="shared" ref="D180:J180" si="40">D148-D178</f>
        <v>0.15856598249999998</v>
      </c>
      <c r="E180" s="115">
        <f t="shared" si="40"/>
        <v>0.16643044912499999</v>
      </c>
      <c r="F180" s="115">
        <f t="shared" si="40"/>
        <v>0.17475197158125</v>
      </c>
      <c r="G180" s="115">
        <f t="shared" si="40"/>
        <v>0.18348957016031253</v>
      </c>
      <c r="H180" s="115">
        <f t="shared" si="40"/>
        <v>0.19266404866832809</v>
      </c>
      <c r="I180" s="115">
        <f t="shared" si="40"/>
        <v>0.20229725110174457</v>
      </c>
      <c r="J180" s="115">
        <f t="shared" si="40"/>
        <v>0.2124121136568318</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20" t="s">
        <v>433</v>
      </c>
      <c r="B184" s="420"/>
      <c r="C184" s="420"/>
      <c r="D184" s="420"/>
      <c r="E184" s="420"/>
      <c r="F184" s="420"/>
      <c r="G184" s="420"/>
      <c r="H184" s="420"/>
      <c r="I184" s="420"/>
      <c r="J184" s="420"/>
    </row>
    <row r="186" spans="1:10">
      <c r="A186" t="s">
        <v>551</v>
      </c>
    </row>
    <row r="187" spans="1:10">
      <c r="A187">
        <v>1</v>
      </c>
      <c r="B187" t="s">
        <v>564</v>
      </c>
    </row>
    <row r="188" spans="1:10">
      <c r="A188">
        <v>2</v>
      </c>
      <c r="B188" t="s">
        <v>565</v>
      </c>
    </row>
    <row r="189" spans="1:10">
      <c r="A189">
        <v>3</v>
      </c>
      <c r="B189" s="94" t="s">
        <v>617</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5" zoomScaleSheetLayoutView="100" workbookViewId="0">
      <selection activeCell="C16" sqref="C16"/>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419" t="s">
        <v>612</v>
      </c>
      <c r="B3" s="419"/>
      <c r="C3" s="419"/>
      <c r="D3" s="419"/>
      <c r="E3" s="419"/>
      <c r="F3" s="419"/>
      <c r="G3" s="419"/>
      <c r="H3" s="419"/>
    </row>
    <row r="4" spans="1:8" ht="17.5">
      <c r="A4" s="419" t="s">
        <v>613</v>
      </c>
      <c r="B4" s="419"/>
      <c r="C4" s="419"/>
      <c r="D4" s="419"/>
      <c r="E4" s="419"/>
      <c r="F4" s="419"/>
      <c r="G4" s="419"/>
      <c r="H4" s="419"/>
    </row>
    <row r="5" spans="1:8">
      <c r="A5" s="94" t="s">
        <v>163</v>
      </c>
      <c r="B5" s="250">
        <v>1</v>
      </c>
      <c r="C5" s="94" t="s">
        <v>481</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472</v>
      </c>
      <c r="B39" s="95">
        <f>SUM(B13:B37)</f>
        <v>0</v>
      </c>
      <c r="C39" s="95">
        <f t="shared" ref="C39:H39" si="1">SUM(C13:C37)</f>
        <v>0</v>
      </c>
      <c r="D39" s="95">
        <f t="shared" si="1"/>
        <v>0</v>
      </c>
      <c r="E39" s="95">
        <f t="shared" si="1"/>
        <v>0</v>
      </c>
      <c r="F39" s="95">
        <f t="shared" si="1"/>
        <v>0</v>
      </c>
      <c r="G39" s="95">
        <f t="shared" si="1"/>
        <v>0</v>
      </c>
      <c r="H39" s="95">
        <f t="shared" si="1"/>
        <v>0</v>
      </c>
    </row>
    <row r="40" spans="1:8">
      <c r="A40" s="327" t="s">
        <v>167</v>
      </c>
      <c r="B40" s="282">
        <v>0</v>
      </c>
      <c r="C40" s="282">
        <f>B40</f>
        <v>0</v>
      </c>
      <c r="D40" s="282">
        <f t="shared" ref="D40:H40" si="2">C40</f>
        <v>0</v>
      </c>
      <c r="E40" s="282">
        <f t="shared" si="2"/>
        <v>0</v>
      </c>
      <c r="F40" s="282">
        <f t="shared" si="2"/>
        <v>0</v>
      </c>
      <c r="G40" s="282">
        <f t="shared" si="2"/>
        <v>0</v>
      </c>
      <c r="H40" s="282">
        <f t="shared" si="2"/>
        <v>0</v>
      </c>
    </row>
    <row r="41" spans="1:8">
      <c r="A41" s="99" t="s">
        <v>482</v>
      </c>
      <c r="B41" s="328">
        <f>1-B40</f>
        <v>1</v>
      </c>
      <c r="C41" s="328">
        <f t="shared" ref="C41:H41" si="3">1-C40</f>
        <v>1</v>
      </c>
      <c r="D41" s="328">
        <f t="shared" si="3"/>
        <v>1</v>
      </c>
      <c r="E41" s="328">
        <f t="shared" si="3"/>
        <v>1</v>
      </c>
      <c r="F41" s="328">
        <f t="shared" si="3"/>
        <v>1</v>
      </c>
      <c r="G41" s="328">
        <f t="shared" si="3"/>
        <v>1</v>
      </c>
      <c r="H41" s="328">
        <f t="shared" si="3"/>
        <v>1</v>
      </c>
    </row>
    <row r="42" spans="1:8">
      <c r="A42" s="97" t="s">
        <v>167</v>
      </c>
      <c r="B42" s="261">
        <f>B39*B40</f>
        <v>0</v>
      </c>
      <c r="C42" s="261">
        <f t="shared" ref="C42:H42" si="4">C39*C40</f>
        <v>0</v>
      </c>
      <c r="D42" s="261">
        <f t="shared" si="4"/>
        <v>0</v>
      </c>
      <c r="E42" s="261">
        <f t="shared" si="4"/>
        <v>0</v>
      </c>
      <c r="F42" s="261">
        <f t="shared" si="4"/>
        <v>0</v>
      </c>
      <c r="G42" s="261">
        <f t="shared" si="4"/>
        <v>0</v>
      </c>
      <c r="H42" s="261">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289</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537</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535</v>
      </c>
      <c r="B125" s="96">
        <f>(B$62*50%)*0.7*2</f>
        <v>0</v>
      </c>
      <c r="C125" s="96">
        <f>(C$62*50%)*0.7</f>
        <v>0</v>
      </c>
      <c r="D125" s="96">
        <f t="shared" si="18"/>
        <v>0</v>
      </c>
      <c r="E125" s="96">
        <f t="shared" si="18"/>
        <v>0</v>
      </c>
      <c r="F125" s="96">
        <f t="shared" si="18"/>
        <v>0</v>
      </c>
      <c r="G125" s="96">
        <f t="shared" si="18"/>
        <v>0</v>
      </c>
      <c r="H125" s="96">
        <f t="shared" si="18"/>
        <v>0</v>
      </c>
    </row>
    <row r="126" spans="1:8">
      <c r="A126" s="95" t="s">
        <v>536</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459</v>
      </c>
    </row>
    <row r="141" spans="1:8">
      <c r="A141" t="s">
        <v>540</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541</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542</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7.5">
      <c r="A147" s="419" t="s">
        <v>614</v>
      </c>
      <c r="B147" s="419"/>
      <c r="C147" s="419"/>
      <c r="D147" s="419"/>
      <c r="E147" s="419"/>
      <c r="F147" s="419"/>
      <c r="G147" s="419"/>
      <c r="H147" s="419"/>
      <c r="I147" s="419"/>
      <c r="J147" s="419"/>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539</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538</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369</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316</v>
      </c>
      <c r="B162" s="97"/>
      <c r="C162" s="95"/>
      <c r="D162" s="96"/>
      <c r="E162" s="96"/>
      <c r="F162" s="96"/>
      <c r="G162" s="96"/>
      <c r="H162" s="96"/>
      <c r="I162" s="96"/>
      <c r="J162" s="96"/>
    </row>
    <row r="163" spans="1:10">
      <c r="A163" s="99" t="s">
        <v>543</v>
      </c>
      <c r="B163" s="233" t="s">
        <v>370</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544</v>
      </c>
      <c r="B164" s="233" t="s">
        <v>370</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326</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Details'!H61*0.746*8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299</v>
      </c>
      <c r="B167" s="95" t="s">
        <v>370</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300</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301</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349</v>
      </c>
      <c r="B174" s="96"/>
      <c r="C174" s="96"/>
      <c r="D174" s="96"/>
      <c r="E174" s="96">
        <f>'5.Closing Stock &amp; W Capital'!F8</f>
        <v>4.8266325000000006E-3</v>
      </c>
      <c r="F174" s="96">
        <f>'5.Closing Stock &amp; W Capital'!G8</f>
        <v>5.0679641250000011E-3</v>
      </c>
      <c r="G174" s="96">
        <f>'5.Closing Stock &amp; W Capital'!H8</f>
        <v>5.321362331250001E-3</v>
      </c>
      <c r="H174" s="96">
        <f>'5.Closing Stock &amp; W Capital'!I8</f>
        <v>5.5874304478125006E-3</v>
      </c>
      <c r="I174" s="96">
        <f>'5.Closing Stock &amp; W Capital'!J8</f>
        <v>5.8668019702031275E-3</v>
      </c>
      <c r="J174" s="96">
        <f>'5.Closing Stock &amp; W Capital'!K8</f>
        <v>6.1601420687132846E-3</v>
      </c>
    </row>
    <row r="175" spans="1:10">
      <c r="A175" s="195" t="s">
        <v>350</v>
      </c>
      <c r="B175" s="96"/>
      <c r="C175" s="96"/>
      <c r="D175" s="96">
        <f>'5.Closing Stock &amp; W Capital'!E17</f>
        <v>4.8266325000000006E-3</v>
      </c>
      <c r="E175" s="96">
        <f>'5.Closing Stock &amp; W Capital'!F17</f>
        <v>5.0679641250000011E-3</v>
      </c>
      <c r="F175" s="96">
        <f>'5.Closing Stock &amp; W Capital'!G17</f>
        <v>5.321362331250001E-3</v>
      </c>
      <c r="G175" s="96">
        <f>'5.Closing Stock &amp; W Capital'!H17</f>
        <v>5.5874304478125006E-3</v>
      </c>
      <c r="H175" s="96">
        <f>'5.Closing Stock &amp; W Capital'!I17</f>
        <v>5.8668019702031275E-3</v>
      </c>
      <c r="I175" s="96">
        <f>'5.Closing Stock &amp; W Capital'!J17</f>
        <v>6.1601420687132846E-3</v>
      </c>
      <c r="J175" s="96">
        <f>'5.Closing Stock &amp; W Capital'!K17</f>
        <v>6.468149172148949E-3</v>
      </c>
    </row>
    <row r="176" spans="1:10">
      <c r="A176" s="96"/>
      <c r="B176" s="96"/>
      <c r="C176" s="96"/>
      <c r="D176" s="96"/>
      <c r="E176" s="96"/>
      <c r="F176" s="96"/>
      <c r="G176" s="96"/>
      <c r="H176" s="96"/>
      <c r="I176" s="96"/>
      <c r="J176" s="96"/>
    </row>
    <row r="177" spans="1:10">
      <c r="A177" s="115" t="s">
        <v>327</v>
      </c>
      <c r="B177" s="96"/>
      <c r="C177" s="96"/>
      <c r="D177" s="115">
        <f t="shared" ref="D177:J177" si="33">SUM(D163:D174)-D175</f>
        <v>-4.8266325000000006E-3</v>
      </c>
      <c r="E177" s="115">
        <f t="shared" si="33"/>
        <v>-2.4133162500000055E-4</v>
      </c>
      <c r="F177" s="115">
        <f t="shared" si="33"/>
        <v>-2.5339820624999988E-4</v>
      </c>
      <c r="G177" s="115">
        <f t="shared" si="33"/>
        <v>-2.6606811656249962E-4</v>
      </c>
      <c r="H177" s="115">
        <f t="shared" si="33"/>
        <v>-2.793715223906269E-4</v>
      </c>
      <c r="I177" s="115">
        <f t="shared" si="33"/>
        <v>-2.9334009851015707E-4</v>
      </c>
      <c r="J177" s="115">
        <f t="shared" si="33"/>
        <v>-3.0800710343566445E-4</v>
      </c>
    </row>
    <row r="178" spans="1:10">
      <c r="A178" s="94"/>
      <c r="B178" s="94"/>
      <c r="C178" s="94"/>
      <c r="D178" s="94"/>
      <c r="E178" s="94"/>
      <c r="F178" s="94"/>
      <c r="G178" s="94"/>
      <c r="H178" s="94"/>
      <c r="I178" s="94"/>
      <c r="J178" s="94"/>
    </row>
    <row r="179" spans="1:10">
      <c r="A179" s="196" t="s">
        <v>314</v>
      </c>
      <c r="B179" s="196"/>
      <c r="C179" s="196"/>
      <c r="D179" s="115"/>
      <c r="E179" s="115"/>
      <c r="F179" s="115"/>
      <c r="G179" s="115"/>
      <c r="H179" s="115"/>
      <c r="I179" s="115"/>
      <c r="J179" s="115"/>
    </row>
    <row r="180" spans="1:10">
      <c r="A180" s="95" t="s">
        <v>190</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195</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314</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302</v>
      </c>
      <c r="B186" s="196"/>
      <c r="C186" s="196"/>
      <c r="D186" s="115">
        <f>D177+D185</f>
        <v>-4.8266325000000006E-3</v>
      </c>
      <c r="E186" s="115">
        <f t="shared" ref="E186:J186" si="37">E177+E185</f>
        <v>-2.4133162500000055E-4</v>
      </c>
      <c r="F186" s="115">
        <f t="shared" si="37"/>
        <v>-2.5339820624999988E-4</v>
      </c>
      <c r="G186" s="115">
        <f t="shared" si="37"/>
        <v>-2.6606811656249962E-4</v>
      </c>
      <c r="H186" s="115">
        <f t="shared" si="37"/>
        <v>-2.793715223906269E-4</v>
      </c>
      <c r="I186" s="115">
        <f t="shared" si="37"/>
        <v>-2.9334009851015707E-4</v>
      </c>
      <c r="J186" s="115">
        <f t="shared" si="37"/>
        <v>-3.0800710343566445E-4</v>
      </c>
    </row>
    <row r="187" spans="1:10">
      <c r="A187" s="95"/>
      <c r="B187" s="95"/>
      <c r="C187" s="95"/>
      <c r="D187" s="96"/>
      <c r="E187" s="96"/>
      <c r="F187" s="96"/>
      <c r="G187" s="96"/>
      <c r="H187" s="96"/>
      <c r="I187" s="96"/>
      <c r="J187" s="96"/>
    </row>
    <row r="188" spans="1:10">
      <c r="A188" s="97" t="s">
        <v>7</v>
      </c>
      <c r="B188" s="97"/>
      <c r="C188" s="97"/>
      <c r="D188" s="115">
        <f t="shared" ref="D188:J188" si="38">D159-D186</f>
        <v>4.8266325000000006E-3</v>
      </c>
      <c r="E188" s="115">
        <f t="shared" si="38"/>
        <v>2.4133162500000055E-4</v>
      </c>
      <c r="F188" s="115">
        <f t="shared" si="38"/>
        <v>2.5339820624999988E-4</v>
      </c>
      <c r="G188" s="115">
        <f t="shared" si="38"/>
        <v>2.6606811656249962E-4</v>
      </c>
      <c r="H188" s="115">
        <f t="shared" si="38"/>
        <v>2.793715223906269E-4</v>
      </c>
      <c r="I188" s="115">
        <f t="shared" si="38"/>
        <v>2.9334009851015707E-4</v>
      </c>
      <c r="J188" s="115">
        <f t="shared" si="38"/>
        <v>3.0800710343566445E-4</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20" t="s">
        <v>433</v>
      </c>
      <c r="B192" s="420"/>
      <c r="C192" s="420"/>
      <c r="D192" s="420"/>
      <c r="E192" s="420"/>
      <c r="F192" s="420"/>
      <c r="G192" s="420"/>
      <c r="H192" s="420"/>
      <c r="I192" s="420"/>
      <c r="J192" s="420"/>
    </row>
    <row r="194" spans="1:5">
      <c r="A194" t="s">
        <v>551</v>
      </c>
    </row>
    <row r="195" spans="1:5">
      <c r="A195">
        <v>1</v>
      </c>
      <c r="B195" t="s">
        <v>564</v>
      </c>
    </row>
    <row r="196" spans="1:5">
      <c r="A196">
        <v>2</v>
      </c>
      <c r="B196" t="s">
        <v>565</v>
      </c>
      <c r="C196" s="67"/>
      <c r="D196" s="67"/>
      <c r="E196" s="67"/>
    </row>
    <row r="197" spans="1:5">
      <c r="A197">
        <v>3</v>
      </c>
      <c r="B197" s="94" t="s">
        <v>617</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33"/>
  <sheetViews>
    <sheetView view="pageBreakPreview" topLeftCell="A13" zoomScaleSheetLayoutView="100" workbookViewId="0">
      <selection activeCell="D29" sqref="D29"/>
    </sheetView>
  </sheetViews>
  <sheetFormatPr defaultRowHeight="14.5"/>
  <cols>
    <col min="2" max="2" width="7.54296875" bestFit="1" customWidth="1"/>
    <col min="3" max="3" width="26.26953125" bestFit="1" customWidth="1"/>
    <col min="4" max="4" width="15" customWidth="1"/>
    <col min="5" max="5" width="16" customWidth="1"/>
    <col min="6" max="6" width="17.81640625" customWidth="1"/>
  </cols>
  <sheetData>
    <row r="2" spans="1:15" ht="17.5">
      <c r="B2" s="419" t="s">
        <v>568</v>
      </c>
      <c r="C2" s="419"/>
      <c r="D2" s="419"/>
      <c r="E2" s="419"/>
      <c r="F2" s="419"/>
    </row>
    <row r="3" spans="1:15">
      <c r="J3" t="s">
        <v>707</v>
      </c>
      <c r="M3" t="s">
        <v>708</v>
      </c>
    </row>
    <row r="4" spans="1:15">
      <c r="B4" s="350" t="s">
        <v>146</v>
      </c>
      <c r="C4" s="350" t="s">
        <v>128</v>
      </c>
      <c r="D4" s="350" t="s">
        <v>160</v>
      </c>
      <c r="E4" s="355" t="s">
        <v>475</v>
      </c>
      <c r="F4" s="355" t="s">
        <v>476</v>
      </c>
      <c r="J4" t="s">
        <v>709</v>
      </c>
    </row>
    <row r="5" spans="1:15">
      <c r="B5" s="351">
        <v>1</v>
      </c>
      <c r="C5" s="352" t="str">
        <f>'2.Capex Details'!B2</f>
        <v>Land and Building</v>
      </c>
      <c r="D5" s="356">
        <f>'2.Capex Details'!G12</f>
        <v>23707346.289999999</v>
      </c>
      <c r="E5" s="357">
        <v>0.6</v>
      </c>
      <c r="F5" s="358">
        <f>D5*E5</f>
        <v>14224407.773999998</v>
      </c>
    </row>
    <row r="6" spans="1:15">
      <c r="B6" s="351">
        <v>2</v>
      </c>
      <c r="C6" s="352" t="str">
        <f>'2.Capex Details'!B17</f>
        <v>Machinery and Equipment</v>
      </c>
      <c r="D6" s="356">
        <f>'2.Capex Details'!G63</f>
        <v>3373600</v>
      </c>
      <c r="E6" s="357">
        <v>0.6</v>
      </c>
      <c r="F6" s="358">
        <f t="shared" ref="F6:F10" si="0">D6*E6</f>
        <v>2024160</v>
      </c>
    </row>
    <row r="7" spans="1:15">
      <c r="B7" s="351">
        <v>3</v>
      </c>
      <c r="C7" s="352" t="str">
        <f>'2.Capex Details'!B69</f>
        <v>Furniture and Fixture</v>
      </c>
      <c r="D7" s="356">
        <f>'2.Capex Details'!F78</f>
        <v>186000</v>
      </c>
      <c r="E7" s="357">
        <v>0.6</v>
      </c>
      <c r="F7" s="358">
        <f t="shared" si="0"/>
        <v>111600</v>
      </c>
    </row>
    <row r="8" spans="1:15" ht="15" thickBot="1">
      <c r="B8" s="351">
        <v>4</v>
      </c>
      <c r="C8" s="352" t="str">
        <f>'2.Capex Details'!B83</f>
        <v>IT &amp; It Infrastracture</v>
      </c>
      <c r="D8" s="356">
        <f>'2.Capex Details'!F92</f>
        <v>388000</v>
      </c>
      <c r="E8" s="357">
        <v>0.6</v>
      </c>
      <c r="F8" s="358">
        <f t="shared" si="0"/>
        <v>232800</v>
      </c>
    </row>
    <row r="9" spans="1:15" ht="26.5" thickBot="1">
      <c r="B9" s="351">
        <v>5</v>
      </c>
      <c r="C9" s="352" t="str">
        <f>'2.Capex Details'!B97</f>
        <v>Transport vehical  (Refer van and other)</v>
      </c>
      <c r="D9" s="356">
        <f>'2.Capex Details'!F103</f>
        <v>972982</v>
      </c>
      <c r="E9" s="357">
        <v>0.6</v>
      </c>
      <c r="F9" s="358">
        <f t="shared" si="0"/>
        <v>583789.19999999995</v>
      </c>
      <c r="J9" t="s">
        <v>713</v>
      </c>
      <c r="M9">
        <v>21500000</v>
      </c>
      <c r="O9" s="393">
        <v>18574493.960000001</v>
      </c>
    </row>
    <row r="10" spans="1:15" ht="15" thickBot="1">
      <c r="B10" s="351">
        <v>6</v>
      </c>
      <c r="C10" s="352" t="str">
        <f>'2.Capex Details'!B107</f>
        <v>Preliminary Expenses</v>
      </c>
      <c r="D10" s="356">
        <f>'2.Capex Details'!D115</f>
        <v>875000</v>
      </c>
      <c r="E10" s="357">
        <v>0.6</v>
      </c>
      <c r="F10" s="358">
        <f t="shared" si="0"/>
        <v>525000</v>
      </c>
      <c r="J10" t="s">
        <v>714</v>
      </c>
      <c r="K10">
        <v>3</v>
      </c>
      <c r="M10">
        <v>2370000</v>
      </c>
      <c r="O10" s="394">
        <v>1669652.33</v>
      </c>
    </row>
    <row r="11" spans="1:15" ht="15" thickBot="1">
      <c r="B11" s="351">
        <v>7</v>
      </c>
      <c r="C11" s="352" t="s">
        <v>158</v>
      </c>
      <c r="D11" s="356"/>
      <c r="E11" s="359"/>
      <c r="F11" s="359"/>
      <c r="J11" t="s">
        <v>715</v>
      </c>
      <c r="K11">
        <v>2</v>
      </c>
      <c r="M11">
        <v>380000</v>
      </c>
      <c r="O11" s="394">
        <v>960000</v>
      </c>
    </row>
    <row r="12" spans="1:15" ht="15" thickBot="1">
      <c r="B12" s="418" t="s">
        <v>1</v>
      </c>
      <c r="C12" s="418"/>
      <c r="D12" s="360">
        <f>SUM(D5:D11)</f>
        <v>29502928.289999999</v>
      </c>
      <c r="E12" s="359"/>
      <c r="F12" s="360">
        <f>SUM(F5:F11)</f>
        <v>17701756.973999999</v>
      </c>
      <c r="J12" t="s">
        <v>716</v>
      </c>
      <c r="M12">
        <v>340000</v>
      </c>
      <c r="O12" s="394">
        <v>2503200</v>
      </c>
    </row>
    <row r="13" spans="1:15">
      <c r="D13" s="22"/>
      <c r="J13" t="s">
        <v>717</v>
      </c>
      <c r="M13">
        <v>450000</v>
      </c>
    </row>
    <row r="14" spans="1:15" ht="25.5" customHeight="1">
      <c r="A14" s="421" t="s">
        <v>426</v>
      </c>
      <c r="B14" s="421"/>
      <c r="C14" s="421"/>
      <c r="D14" s="421"/>
      <c r="E14" s="421"/>
      <c r="F14" s="421"/>
      <c r="J14" t="s">
        <v>712</v>
      </c>
      <c r="M14">
        <v>2800000</v>
      </c>
    </row>
    <row r="15" spans="1:15">
      <c r="J15" t="s">
        <v>718</v>
      </c>
      <c r="M15">
        <v>972982</v>
      </c>
    </row>
    <row r="16" spans="1:15" ht="17.5">
      <c r="B16" s="419" t="s">
        <v>569</v>
      </c>
      <c r="C16" s="419"/>
      <c r="D16" s="419"/>
      <c r="E16" s="419"/>
      <c r="F16" s="419"/>
      <c r="J16" t="s">
        <v>719</v>
      </c>
      <c r="M16">
        <v>125000</v>
      </c>
    </row>
    <row r="18" spans="2:13">
      <c r="B18" s="349" t="s">
        <v>146</v>
      </c>
      <c r="C18" s="350" t="s">
        <v>128</v>
      </c>
      <c r="D18" s="350" t="s">
        <v>664</v>
      </c>
      <c r="E18" s="350" t="s">
        <v>160</v>
      </c>
    </row>
    <row r="19" spans="2:13">
      <c r="B19" s="351">
        <v>1</v>
      </c>
      <c r="C19" s="352" t="s">
        <v>339</v>
      </c>
      <c r="D19" s="390"/>
      <c r="E19" s="353">
        <f>F12</f>
        <v>17701756.973999999</v>
      </c>
      <c r="J19" t="s">
        <v>710</v>
      </c>
      <c r="M19">
        <v>388000</v>
      </c>
    </row>
    <row r="20" spans="2:13">
      <c r="B20" s="351">
        <v>2</v>
      </c>
      <c r="C20" s="352" t="s">
        <v>159</v>
      </c>
      <c r="D20" s="384">
        <v>0</v>
      </c>
      <c r="E20" s="353">
        <f>SUM(D5:D9)*D20</f>
        <v>0</v>
      </c>
      <c r="J20" t="s">
        <v>711</v>
      </c>
      <c r="M20">
        <v>186000</v>
      </c>
    </row>
    <row r="21" spans="2:13">
      <c r="B21" s="351">
        <v>3</v>
      </c>
      <c r="C21" s="352" t="s">
        <v>135</v>
      </c>
      <c r="D21" s="353"/>
      <c r="E21" s="353">
        <f>D12-E19-E20</f>
        <v>11801171.316</v>
      </c>
    </row>
    <row r="22" spans="2:13">
      <c r="B22" s="418" t="s">
        <v>1</v>
      </c>
      <c r="C22" s="418"/>
      <c r="D22" s="354"/>
      <c r="E22" s="354">
        <f>SUM(E19:E21)</f>
        <v>29502928.289999999</v>
      </c>
      <c r="J22" t="s">
        <v>720</v>
      </c>
      <c r="M22">
        <v>2730000</v>
      </c>
    </row>
    <row r="24" spans="2:13">
      <c r="B24" s="420" t="s">
        <v>427</v>
      </c>
      <c r="C24" s="420"/>
      <c r="D24" s="420"/>
      <c r="E24" s="420"/>
      <c r="F24" s="420"/>
    </row>
    <row r="26" spans="2:13" ht="17.5">
      <c r="B26" s="417" t="s">
        <v>570</v>
      </c>
      <c r="C26" s="417"/>
      <c r="D26" s="417"/>
      <c r="E26" s="417"/>
      <c r="F26" s="417"/>
    </row>
    <row r="27" spans="2:13">
      <c r="B27" s="361" t="s">
        <v>146</v>
      </c>
      <c r="C27" s="362" t="s">
        <v>620</v>
      </c>
      <c r="D27" s="363" t="s">
        <v>621</v>
      </c>
      <c r="E27" s="364" t="s">
        <v>622</v>
      </c>
      <c r="F27" s="415" t="s">
        <v>623</v>
      </c>
      <c r="G27" s="416"/>
    </row>
    <row r="28" spans="2:13" ht="26">
      <c r="B28" s="365">
        <v>1</v>
      </c>
      <c r="C28" s="352" t="s">
        <v>386</v>
      </c>
      <c r="D28" s="366">
        <f>'9. Financial indiacators'!C49</f>
        <v>0.40208921875009201</v>
      </c>
      <c r="E28" s="365" t="s">
        <v>387</v>
      </c>
      <c r="F28" s="372" t="s">
        <v>624</v>
      </c>
      <c r="G28" s="365" t="s">
        <v>388</v>
      </c>
    </row>
    <row r="29" spans="2:13" ht="39">
      <c r="B29" s="365">
        <v>2</v>
      </c>
      <c r="C29" s="352" t="s">
        <v>389</v>
      </c>
      <c r="D29" s="367">
        <f>'9. Financial indiacators'!C85</f>
        <v>0.17016751764272814</v>
      </c>
      <c r="E29" s="365" t="s">
        <v>387</v>
      </c>
      <c r="F29" s="372" t="s">
        <v>625</v>
      </c>
      <c r="G29" s="365" t="s">
        <v>390</v>
      </c>
    </row>
    <row r="30" spans="2:13" ht="39">
      <c r="B30" s="365">
        <v>3</v>
      </c>
      <c r="C30" s="352" t="s">
        <v>391</v>
      </c>
      <c r="D30" s="366">
        <f>'9. Financial indiacators'!C16</f>
        <v>0.10079602085265305</v>
      </c>
      <c r="E30" s="365" t="s">
        <v>387</v>
      </c>
      <c r="F30" s="372" t="s">
        <v>626</v>
      </c>
      <c r="G30" s="365" t="s">
        <v>392</v>
      </c>
    </row>
    <row r="31" spans="2:13" ht="65">
      <c r="B31" s="365">
        <v>4</v>
      </c>
      <c r="C31" s="352" t="s">
        <v>393</v>
      </c>
      <c r="D31" s="368">
        <f>'9. Financial indiacators'!C73</f>
        <v>84952.389829866588</v>
      </c>
      <c r="E31" s="365" t="s">
        <v>397</v>
      </c>
      <c r="F31" s="372" t="s">
        <v>627</v>
      </c>
      <c r="G31" s="365" t="s">
        <v>394</v>
      </c>
    </row>
    <row r="32" spans="2:13" ht="39">
      <c r="B32" s="365">
        <v>5</v>
      </c>
      <c r="C32" s="352" t="s">
        <v>395</v>
      </c>
      <c r="D32" s="369">
        <f>'9. Financial indiacators'!D101</f>
        <v>5.0894635218540216</v>
      </c>
      <c r="E32" s="365" t="s">
        <v>387</v>
      </c>
      <c r="F32" s="372" t="s">
        <v>628</v>
      </c>
      <c r="G32" s="365" t="s">
        <v>398</v>
      </c>
    </row>
    <row r="33" spans="2:7" ht="39">
      <c r="B33" s="365">
        <v>6</v>
      </c>
      <c r="C33" s="370" t="s">
        <v>396</v>
      </c>
      <c r="D33" s="369" t="e">
        <f>'9. Financial indiacators'!C119</f>
        <v>#DIV/0!</v>
      </c>
      <c r="E33" s="371" t="s">
        <v>387</v>
      </c>
      <c r="F33" s="372" t="s">
        <v>629</v>
      </c>
      <c r="G33" s="370"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17"/>
  <sheetViews>
    <sheetView view="pageBreakPreview" topLeftCell="A70" zoomScale="80" zoomScaleSheetLayoutView="80" workbookViewId="0">
      <selection activeCell="D110" sqref="D110"/>
    </sheetView>
  </sheetViews>
  <sheetFormatPr defaultRowHeight="14.5"/>
  <cols>
    <col min="2" max="2" width="7.54296875" bestFit="1" customWidth="1"/>
    <col min="3" max="3" width="41.54296875" customWidth="1"/>
    <col min="4" max="4" width="9.7265625" customWidth="1"/>
    <col min="5" max="5" width="17" customWidth="1"/>
    <col min="6" max="6" width="14" bestFit="1" customWidth="1"/>
    <col min="7" max="7" width="15.26953125" customWidth="1"/>
    <col min="8" max="8" width="11.54296875" bestFit="1" customWidth="1"/>
    <col min="16" max="16" width="9.1796875" bestFit="1" customWidth="1"/>
  </cols>
  <sheetData>
    <row r="2" spans="1:16" ht="17.5">
      <c r="A2">
        <v>2.1</v>
      </c>
      <c r="B2" s="419" t="s">
        <v>156</v>
      </c>
      <c r="C2" s="419"/>
      <c r="D2" s="419"/>
      <c r="E2" s="419"/>
      <c r="F2" s="419"/>
      <c r="G2" s="419"/>
    </row>
    <row r="4" spans="1:16">
      <c r="B4" s="215" t="s">
        <v>146</v>
      </c>
      <c r="C4" s="215" t="s">
        <v>128</v>
      </c>
      <c r="D4" s="215" t="s">
        <v>133</v>
      </c>
      <c r="E4" s="215" t="s">
        <v>147</v>
      </c>
      <c r="F4" s="215" t="s">
        <v>148</v>
      </c>
      <c r="G4" s="215" t="s">
        <v>160</v>
      </c>
      <c r="M4" t="s">
        <v>713</v>
      </c>
      <c r="P4">
        <v>21500000</v>
      </c>
    </row>
    <row r="5" spans="1:16" ht="15" thickBot="1">
      <c r="B5" s="264">
        <v>1</v>
      </c>
      <c r="C5" s="264" t="s">
        <v>149</v>
      </c>
      <c r="D5" s="264" t="s">
        <v>150</v>
      </c>
      <c r="E5" s="373"/>
      <c r="F5" s="374"/>
      <c r="G5" s="375" t="s">
        <v>151</v>
      </c>
      <c r="M5" t="s">
        <v>714</v>
      </c>
      <c r="N5">
        <v>3</v>
      </c>
      <c r="P5">
        <v>2370000</v>
      </c>
    </row>
    <row r="6" spans="1:16" ht="15" thickBot="1">
      <c r="B6" s="264">
        <v>2</v>
      </c>
      <c r="C6" s="395" t="s">
        <v>727</v>
      </c>
      <c r="D6" s="395" t="s">
        <v>731</v>
      </c>
      <c r="E6" s="230">
        <v>1</v>
      </c>
      <c r="F6" s="393">
        <v>18574493.960000001</v>
      </c>
      <c r="G6" s="232">
        <f>E6*F6</f>
        <v>18574493.960000001</v>
      </c>
      <c r="M6" t="s">
        <v>715</v>
      </c>
      <c r="N6">
        <v>2</v>
      </c>
      <c r="P6">
        <v>380000</v>
      </c>
    </row>
    <row r="7" spans="1:16" ht="15" thickBot="1">
      <c r="B7" s="264">
        <v>3</v>
      </c>
      <c r="C7" s="396" t="s">
        <v>728</v>
      </c>
      <c r="D7" s="396" t="s">
        <v>732</v>
      </c>
      <c r="E7" s="230">
        <v>1</v>
      </c>
      <c r="F7" s="394">
        <v>1669652.33</v>
      </c>
      <c r="G7" s="232">
        <f t="shared" ref="G7:G11" si="0">E7*F7</f>
        <v>1669652.33</v>
      </c>
      <c r="M7" t="s">
        <v>716</v>
      </c>
      <c r="P7">
        <v>340000</v>
      </c>
    </row>
    <row r="8" spans="1:16" ht="15" thickBot="1">
      <c r="B8" s="264">
        <v>4</v>
      </c>
      <c r="C8" s="396" t="s">
        <v>729</v>
      </c>
      <c r="D8" s="396"/>
      <c r="E8" s="230">
        <v>1</v>
      </c>
      <c r="F8" s="394">
        <v>960000</v>
      </c>
      <c r="G8" s="232">
        <f t="shared" si="0"/>
        <v>960000</v>
      </c>
      <c r="M8" t="s">
        <v>717</v>
      </c>
      <c r="P8">
        <v>450000</v>
      </c>
    </row>
    <row r="9" spans="1:16" ht="15" thickBot="1">
      <c r="B9" s="264"/>
      <c r="C9" s="396" t="s">
        <v>730</v>
      </c>
      <c r="D9" s="396" t="s">
        <v>725</v>
      </c>
      <c r="E9" s="230">
        <v>1</v>
      </c>
      <c r="F9" s="394">
        <v>2503200</v>
      </c>
      <c r="G9" s="232">
        <f t="shared" si="0"/>
        <v>2503200</v>
      </c>
      <c r="M9" t="s">
        <v>712</v>
      </c>
      <c r="P9">
        <v>2800000</v>
      </c>
    </row>
    <row r="10" spans="1:16">
      <c r="B10" s="264"/>
      <c r="C10" s="264"/>
      <c r="D10" s="265"/>
      <c r="E10" s="230"/>
      <c r="F10" s="231"/>
      <c r="G10" s="232">
        <f t="shared" si="0"/>
        <v>0</v>
      </c>
      <c r="M10" t="s">
        <v>718</v>
      </c>
      <c r="P10">
        <v>972982</v>
      </c>
    </row>
    <row r="11" spans="1:16">
      <c r="B11" s="264"/>
      <c r="C11" s="264"/>
      <c r="D11" s="265"/>
      <c r="E11" s="230"/>
      <c r="F11" s="231"/>
      <c r="G11" s="232">
        <f t="shared" si="0"/>
        <v>0</v>
      </c>
      <c r="M11" t="s">
        <v>719</v>
      </c>
      <c r="P11">
        <v>125000</v>
      </c>
    </row>
    <row r="12" spans="1:16">
      <c r="B12" s="422" t="s">
        <v>1</v>
      </c>
      <c r="C12" s="422"/>
      <c r="D12" s="422"/>
      <c r="E12" s="422"/>
      <c r="F12" s="422"/>
      <c r="G12" s="229">
        <f>SUM(G6:G11)</f>
        <v>23707346.289999999</v>
      </c>
    </row>
    <row r="14" spans="1:16">
      <c r="M14" t="s">
        <v>710</v>
      </c>
      <c r="P14">
        <v>388000</v>
      </c>
    </row>
    <row r="15" spans="1:16">
      <c r="B15" s="420" t="s">
        <v>422</v>
      </c>
      <c r="C15" s="420"/>
      <c r="D15" s="420"/>
      <c r="E15" s="420"/>
      <c r="F15" s="420"/>
      <c r="G15" s="420"/>
      <c r="M15" t="s">
        <v>711</v>
      </c>
      <c r="P15">
        <v>186000</v>
      </c>
    </row>
    <row r="17" spans="1:16" ht="17.5">
      <c r="A17">
        <v>2.2000000000000002</v>
      </c>
      <c r="B17" s="419" t="s">
        <v>157</v>
      </c>
      <c r="C17" s="419"/>
      <c r="D17" s="419"/>
      <c r="E17" s="419"/>
      <c r="F17" s="419"/>
      <c r="G17" s="419"/>
      <c r="H17" s="419"/>
      <c r="M17" t="s">
        <v>720</v>
      </c>
      <c r="P17">
        <v>2730000</v>
      </c>
    </row>
    <row r="18" spans="1:16">
      <c r="B18" s="19"/>
    </row>
    <row r="19" spans="1:16">
      <c r="B19" s="324" t="s">
        <v>146</v>
      </c>
      <c r="C19" s="324" t="s">
        <v>152</v>
      </c>
      <c r="D19" s="324" t="s">
        <v>163</v>
      </c>
      <c r="E19" s="324" t="s">
        <v>153</v>
      </c>
      <c r="F19" s="324" t="s">
        <v>154</v>
      </c>
      <c r="G19" s="324" t="s">
        <v>160</v>
      </c>
      <c r="H19" s="324" t="s">
        <v>155</v>
      </c>
    </row>
    <row r="20" spans="1:16">
      <c r="B20" s="240"/>
      <c r="C20" s="233"/>
      <c r="D20" s="233"/>
      <c r="E20" s="233"/>
      <c r="F20" s="233"/>
      <c r="G20" s="234"/>
      <c r="H20" s="233"/>
    </row>
    <row r="21" spans="1:16" ht="15" thickBot="1">
      <c r="B21" s="236" t="s">
        <v>175</v>
      </c>
      <c r="C21" s="235" t="s">
        <v>372</v>
      </c>
      <c r="D21" s="235"/>
      <c r="E21" s="236"/>
      <c r="F21" s="237"/>
      <c r="G21" s="234">
        <f t="shared" ref="G21:G31" si="1">E21*F21</f>
        <v>0</v>
      </c>
      <c r="H21" s="238"/>
    </row>
    <row r="22" spans="1:16" ht="15" thickBot="1">
      <c r="B22" s="236"/>
      <c r="C22" s="395" t="s">
        <v>733</v>
      </c>
      <c r="D22" s="235"/>
      <c r="E22" s="236">
        <v>1</v>
      </c>
      <c r="F22" s="393">
        <v>1498600</v>
      </c>
      <c r="G22" s="234">
        <f t="shared" si="1"/>
        <v>1498600</v>
      </c>
      <c r="H22" s="238"/>
    </row>
    <row r="23" spans="1:16" ht="15" thickBot="1">
      <c r="B23" s="236"/>
      <c r="C23" s="396" t="s">
        <v>734</v>
      </c>
      <c r="D23" s="235"/>
      <c r="E23" s="236">
        <v>1</v>
      </c>
      <c r="F23" s="394">
        <v>790000</v>
      </c>
      <c r="G23" s="234">
        <f t="shared" si="1"/>
        <v>790000</v>
      </c>
      <c r="H23" s="238"/>
    </row>
    <row r="24" spans="1:16" ht="15" thickBot="1">
      <c r="B24" s="236"/>
      <c r="C24" s="396" t="s">
        <v>735</v>
      </c>
      <c r="D24" s="235"/>
      <c r="E24" s="236">
        <v>1</v>
      </c>
      <c r="F24" s="394">
        <v>180000</v>
      </c>
      <c r="G24" s="234">
        <f t="shared" si="1"/>
        <v>180000</v>
      </c>
      <c r="H24" s="238"/>
    </row>
    <row r="25" spans="1:16" ht="15" thickBot="1">
      <c r="B25" s="236"/>
      <c r="C25" s="396" t="s">
        <v>736</v>
      </c>
      <c r="D25" s="235"/>
      <c r="E25" s="236">
        <v>1</v>
      </c>
      <c r="F25" s="394">
        <v>125000</v>
      </c>
      <c r="G25" s="234">
        <f t="shared" si="1"/>
        <v>125000</v>
      </c>
      <c r="H25" s="238"/>
    </row>
    <row r="26" spans="1:16" ht="15" thickBot="1">
      <c r="B26" s="236"/>
      <c r="C26" s="396" t="s">
        <v>737</v>
      </c>
      <c r="D26" s="235"/>
      <c r="E26" s="236">
        <v>1</v>
      </c>
      <c r="F26" s="394">
        <v>340000</v>
      </c>
      <c r="G26" s="234">
        <f t="shared" si="1"/>
        <v>340000</v>
      </c>
      <c r="H26" s="238"/>
    </row>
    <row r="27" spans="1:16" ht="15" thickBot="1">
      <c r="B27" s="236"/>
      <c r="C27" s="396" t="s">
        <v>738</v>
      </c>
      <c r="D27" s="235"/>
      <c r="E27" s="236">
        <v>1</v>
      </c>
      <c r="F27" s="394">
        <v>440000</v>
      </c>
      <c r="G27" s="234">
        <f t="shared" si="1"/>
        <v>440000</v>
      </c>
      <c r="H27" s="238"/>
    </row>
    <row r="28" spans="1:16">
      <c r="B28" s="236"/>
      <c r="D28" s="235"/>
      <c r="E28" s="236"/>
      <c r="G28" s="234"/>
      <c r="H28" s="238"/>
    </row>
    <row r="29" spans="1:16">
      <c r="B29" s="236"/>
      <c r="C29" s="235"/>
      <c r="D29" s="236"/>
      <c r="E29" s="236"/>
      <c r="F29" s="237"/>
      <c r="G29" s="234">
        <f t="shared" si="1"/>
        <v>0</v>
      </c>
      <c r="H29" s="238"/>
    </row>
    <row r="30" spans="1:16">
      <c r="B30" s="236"/>
      <c r="C30" s="235"/>
      <c r="D30" s="236"/>
      <c r="E30" s="236"/>
      <c r="F30" s="237"/>
      <c r="G30" s="234">
        <f t="shared" si="1"/>
        <v>0</v>
      </c>
      <c r="H30" s="238"/>
    </row>
    <row r="31" spans="1:16">
      <c r="B31" s="236"/>
      <c r="C31" s="235"/>
      <c r="D31" s="236"/>
      <c r="E31" s="236"/>
      <c r="F31" s="237"/>
      <c r="G31" s="234">
        <f t="shared" si="1"/>
        <v>0</v>
      </c>
      <c r="H31" s="238"/>
    </row>
    <row r="32" spans="1:16">
      <c r="B32" s="424" t="s">
        <v>173</v>
      </c>
      <c r="C32" s="424"/>
      <c r="D32" s="236"/>
      <c r="E32" s="236"/>
      <c r="F32" s="239"/>
      <c r="G32" s="234">
        <f>SUM(G21:G31)</f>
        <v>3373600</v>
      </c>
      <c r="H32" s="234">
        <f>SUM(H21:H31)</f>
        <v>0</v>
      </c>
    </row>
    <row r="33" spans="2:8">
      <c r="B33" s="236" t="s">
        <v>176</v>
      </c>
      <c r="C33" s="235" t="s">
        <v>297</v>
      </c>
      <c r="D33" s="240"/>
      <c r="E33" s="240"/>
      <c r="F33" s="234"/>
      <c r="G33" s="234"/>
      <c r="H33" s="233"/>
    </row>
    <row r="34" spans="2:8">
      <c r="B34" s="240"/>
      <c r="C34" s="241"/>
      <c r="D34" s="241"/>
      <c r="E34" s="240"/>
      <c r="F34" s="234"/>
      <c r="G34" s="234">
        <f t="shared" ref="G34:G39" si="2">E34*F34</f>
        <v>0</v>
      </c>
      <c r="H34" s="233"/>
    </row>
    <row r="35" spans="2:8">
      <c r="B35" s="240"/>
      <c r="C35" s="241"/>
      <c r="D35" s="240"/>
      <c r="E35" s="240"/>
      <c r="F35" s="234"/>
      <c r="G35" s="234">
        <f t="shared" si="2"/>
        <v>0</v>
      </c>
      <c r="H35" s="233"/>
    </row>
    <row r="36" spans="2:8">
      <c r="B36" s="240"/>
      <c r="C36" s="241"/>
      <c r="D36" s="240"/>
      <c r="E36" s="240"/>
      <c r="F36" s="234"/>
      <c r="G36" s="234">
        <f t="shared" si="2"/>
        <v>0</v>
      </c>
      <c r="H36" s="233"/>
    </row>
    <row r="37" spans="2:8">
      <c r="B37" s="240"/>
      <c r="C37" s="241"/>
      <c r="D37" s="240"/>
      <c r="E37" s="240"/>
      <c r="F37" s="234"/>
      <c r="G37" s="234">
        <f t="shared" si="2"/>
        <v>0</v>
      </c>
      <c r="H37" s="233"/>
    </row>
    <row r="38" spans="2:8">
      <c r="B38" s="240"/>
      <c r="C38" s="241"/>
      <c r="D38" s="240"/>
      <c r="E38" s="240"/>
      <c r="F38" s="234"/>
      <c r="G38" s="234">
        <f t="shared" si="2"/>
        <v>0</v>
      </c>
      <c r="H38" s="233"/>
    </row>
    <row r="39" spans="2:8">
      <c r="B39" s="240"/>
      <c r="C39" s="241"/>
      <c r="D39" s="240"/>
      <c r="E39" s="240"/>
      <c r="F39" s="234"/>
      <c r="G39" s="234">
        <f t="shared" si="2"/>
        <v>0</v>
      </c>
      <c r="H39" s="233"/>
    </row>
    <row r="40" spans="2:8">
      <c r="B40" s="240"/>
      <c r="C40" s="241"/>
      <c r="D40" s="240"/>
      <c r="E40" s="240"/>
      <c r="F40" s="234"/>
      <c r="G40" s="234">
        <f t="shared" ref="G40:G46" si="3">F40</f>
        <v>0</v>
      </c>
      <c r="H40" s="233"/>
    </row>
    <row r="41" spans="2:8">
      <c r="B41" s="240"/>
      <c r="C41" s="241"/>
      <c r="D41" s="240"/>
      <c r="E41" s="240"/>
      <c r="F41" s="234"/>
      <c r="G41" s="234">
        <f t="shared" si="3"/>
        <v>0</v>
      </c>
      <c r="H41" s="233"/>
    </row>
    <row r="42" spans="2:8">
      <c r="B42" s="240"/>
      <c r="C42" s="241"/>
      <c r="D42" s="240"/>
      <c r="E42" s="240"/>
      <c r="F42" s="234"/>
      <c r="G42" s="234">
        <f t="shared" si="3"/>
        <v>0</v>
      </c>
      <c r="H42" s="233"/>
    </row>
    <row r="43" spans="2:8">
      <c r="B43" s="240"/>
      <c r="C43" s="241"/>
      <c r="D43" s="240"/>
      <c r="E43" s="240"/>
      <c r="F43" s="234"/>
      <c r="G43" s="234">
        <f t="shared" si="3"/>
        <v>0</v>
      </c>
      <c r="H43" s="233"/>
    </row>
    <row r="44" spans="2:8">
      <c r="B44" s="240"/>
      <c r="C44" s="241"/>
      <c r="D44" s="240"/>
      <c r="E44" s="240"/>
      <c r="F44" s="234"/>
      <c r="G44" s="234">
        <f t="shared" si="3"/>
        <v>0</v>
      </c>
      <c r="H44" s="233"/>
    </row>
    <row r="45" spans="2:8">
      <c r="B45" s="240"/>
      <c r="C45" s="241"/>
      <c r="D45" s="240"/>
      <c r="E45" s="240"/>
      <c r="F45" s="234"/>
      <c r="G45" s="234">
        <f t="shared" si="3"/>
        <v>0</v>
      </c>
      <c r="H45" s="233"/>
    </row>
    <row r="46" spans="2:8">
      <c r="B46" s="240"/>
      <c r="C46" s="241"/>
      <c r="D46" s="240"/>
      <c r="E46" s="240"/>
      <c r="F46" s="234"/>
      <c r="G46" s="234">
        <f t="shared" si="3"/>
        <v>0</v>
      </c>
      <c r="H46" s="233"/>
    </row>
    <row r="47" spans="2:8">
      <c r="B47" s="424" t="s">
        <v>173</v>
      </c>
      <c r="C47" s="424"/>
      <c r="D47" s="236"/>
      <c r="E47" s="236"/>
      <c r="F47" s="239"/>
      <c r="G47" s="239">
        <f>SUM(G34:G46)</f>
        <v>0</v>
      </c>
      <c r="H47" s="239">
        <f>SUM(H34:H46)</f>
        <v>0</v>
      </c>
    </row>
    <row r="48" spans="2:8">
      <c r="B48" s="240"/>
      <c r="C48" s="241"/>
      <c r="D48" s="240"/>
      <c r="E48" s="240"/>
      <c r="F48" s="234"/>
      <c r="G48" s="234"/>
      <c r="H48" s="233"/>
    </row>
    <row r="49" spans="2:8">
      <c r="B49" s="236" t="s">
        <v>177</v>
      </c>
      <c r="C49" s="235" t="s">
        <v>373</v>
      </c>
      <c r="D49" s="240"/>
      <c r="E49" s="240"/>
      <c r="F49" s="234"/>
      <c r="G49" s="234">
        <f t="shared" ref="G49:G54" si="4">E49*F49</f>
        <v>0</v>
      </c>
      <c r="H49" s="233"/>
    </row>
    <row r="50" spans="2:8">
      <c r="B50" s="236"/>
      <c r="C50" s="235"/>
      <c r="D50" s="240"/>
      <c r="E50" s="240"/>
      <c r="F50" s="234"/>
      <c r="G50" s="234">
        <f t="shared" si="4"/>
        <v>0</v>
      </c>
      <c r="H50" s="233"/>
    </row>
    <row r="51" spans="2:8">
      <c r="B51" s="236"/>
      <c r="C51" s="235"/>
      <c r="D51" s="241"/>
      <c r="E51" s="240"/>
      <c r="F51" s="234"/>
      <c r="G51" s="234">
        <f t="shared" si="4"/>
        <v>0</v>
      </c>
      <c r="H51" s="233"/>
    </row>
    <row r="52" spans="2:8">
      <c r="B52" s="236"/>
      <c r="C52" s="235"/>
      <c r="D52" s="241"/>
      <c r="E52" s="240"/>
      <c r="F52" s="234"/>
      <c r="G52" s="234">
        <f t="shared" si="4"/>
        <v>0</v>
      </c>
      <c r="H52" s="233"/>
    </row>
    <row r="53" spans="2:8">
      <c r="B53" s="236"/>
      <c r="C53" s="235"/>
      <c r="D53" s="241"/>
      <c r="E53" s="240"/>
      <c r="F53" s="234"/>
      <c r="G53" s="234">
        <f t="shared" si="4"/>
        <v>0</v>
      </c>
      <c r="H53" s="233"/>
    </row>
    <row r="54" spans="2:8">
      <c r="B54" s="236"/>
      <c r="C54" s="235"/>
      <c r="D54" s="241"/>
      <c r="E54" s="240"/>
      <c r="F54" s="234"/>
      <c r="G54" s="234">
        <f t="shared" si="4"/>
        <v>0</v>
      </c>
      <c r="H54" s="233"/>
    </row>
    <row r="55" spans="2:8">
      <c r="B55" s="424" t="s">
        <v>173</v>
      </c>
      <c r="C55" s="424"/>
      <c r="D55" s="241"/>
      <c r="E55" s="240"/>
      <c r="F55" s="234"/>
      <c r="G55" s="234">
        <f>SUM(G49:G54)</f>
        <v>0</v>
      </c>
      <c r="H55" s="234">
        <f>SUM(H49:H54)</f>
        <v>0</v>
      </c>
    </row>
    <row r="56" spans="2:8">
      <c r="B56" s="236"/>
      <c r="C56" s="236"/>
      <c r="D56" s="241"/>
      <c r="E56" s="240"/>
      <c r="F56" s="234"/>
      <c r="G56" s="234"/>
      <c r="H56" s="234"/>
    </row>
    <row r="57" spans="2:8">
      <c r="B57" s="236" t="s">
        <v>178</v>
      </c>
      <c r="C57" s="236" t="s">
        <v>550</v>
      </c>
      <c r="D57" s="241"/>
      <c r="E57" s="240"/>
      <c r="F57" s="234"/>
      <c r="G57" s="234">
        <f>E57*F57</f>
        <v>0</v>
      </c>
      <c r="H57" s="234"/>
    </row>
    <row r="58" spans="2:8">
      <c r="B58" s="236"/>
      <c r="C58" s="236"/>
      <c r="D58" s="241"/>
      <c r="E58" s="240"/>
      <c r="F58" s="234"/>
      <c r="G58" s="234">
        <f t="shared" ref="G58:G60" si="5">E58*F58</f>
        <v>0</v>
      </c>
      <c r="H58" s="234"/>
    </row>
    <row r="59" spans="2:8">
      <c r="B59" s="236"/>
      <c r="C59" s="236"/>
      <c r="D59" s="241"/>
      <c r="E59" s="240"/>
      <c r="F59" s="234"/>
      <c r="G59" s="234">
        <f t="shared" si="5"/>
        <v>0</v>
      </c>
      <c r="H59" s="234"/>
    </row>
    <row r="60" spans="2:8">
      <c r="B60" s="236"/>
      <c r="C60" s="235"/>
      <c r="D60" s="241"/>
      <c r="E60" s="240"/>
      <c r="F60" s="234"/>
      <c r="G60" s="234">
        <f t="shared" si="5"/>
        <v>0</v>
      </c>
      <c r="H60" s="233"/>
    </row>
    <row r="61" spans="2:8">
      <c r="B61" s="424" t="s">
        <v>173</v>
      </c>
      <c r="C61" s="424"/>
      <c r="D61" s="241"/>
      <c r="E61" s="240"/>
      <c r="F61" s="234"/>
      <c r="G61" s="234">
        <f>SUM(G57:G60)</f>
        <v>0</v>
      </c>
      <c r="H61" s="234">
        <f>SUM(H57:H60)</f>
        <v>0</v>
      </c>
    </row>
    <row r="62" spans="2:8">
      <c r="B62" s="240"/>
      <c r="C62" s="241"/>
      <c r="D62" s="241"/>
      <c r="E62" s="240"/>
      <c r="F62" s="234"/>
      <c r="G62" s="234"/>
      <c r="H62" s="233"/>
    </row>
    <row r="63" spans="2:8">
      <c r="B63" s="423" t="s">
        <v>1</v>
      </c>
      <c r="C63" s="423"/>
      <c r="D63" s="423"/>
      <c r="E63" s="423"/>
      <c r="F63" s="423"/>
      <c r="G63" s="228">
        <f>G55+G47+G32+G61</f>
        <v>3373600</v>
      </c>
      <c r="H63" s="228">
        <f>H47+H21+H55+H61</f>
        <v>0</v>
      </c>
    </row>
    <row r="64" spans="2:8">
      <c r="B64" s="19"/>
      <c r="G64" s="18"/>
    </row>
    <row r="65" spans="1:18">
      <c r="B65" s="420" t="s">
        <v>423</v>
      </c>
      <c r="C65" s="420"/>
      <c r="D65" s="420"/>
      <c r="E65" s="420"/>
      <c r="F65" s="420"/>
      <c r="G65" s="420"/>
      <c r="H65" s="420"/>
    </row>
    <row r="66" spans="1:18">
      <c r="B66" s="19"/>
      <c r="G66" s="18"/>
      <c r="I66" s="19"/>
      <c r="J66" s="19"/>
      <c r="K66" s="20"/>
    </row>
    <row r="69" spans="1:18" ht="17.5">
      <c r="A69">
        <v>2.2999999999999998</v>
      </c>
      <c r="B69" s="419" t="s">
        <v>384</v>
      </c>
      <c r="C69" s="419"/>
      <c r="D69" s="419"/>
      <c r="E69" s="419"/>
      <c r="F69" s="419"/>
    </row>
    <row r="71" spans="1:18" ht="29">
      <c r="B71" s="23" t="s">
        <v>146</v>
      </c>
      <c r="C71" s="57" t="s">
        <v>128</v>
      </c>
      <c r="D71" s="57" t="s">
        <v>153</v>
      </c>
      <c r="E71" s="57" t="s">
        <v>154</v>
      </c>
      <c r="F71" s="57" t="s">
        <v>160</v>
      </c>
    </row>
    <row r="72" spans="1:18">
      <c r="B72" s="242">
        <v>1</v>
      </c>
      <c r="C72" s="266" t="s">
        <v>721</v>
      </c>
      <c r="D72" s="242">
        <v>1</v>
      </c>
      <c r="E72" s="243">
        <v>186000</v>
      </c>
      <c r="F72" s="244">
        <f t="shared" ref="F72:F77" si="6">D72*E72</f>
        <v>186000</v>
      </c>
    </row>
    <row r="73" spans="1:18">
      <c r="B73" s="242"/>
      <c r="C73" s="266"/>
      <c r="D73" s="242"/>
      <c r="E73" s="243"/>
      <c r="F73" s="244"/>
    </row>
    <row r="74" spans="1:18">
      <c r="B74" s="242"/>
      <c r="C74" s="266"/>
      <c r="D74" s="242"/>
      <c r="E74" s="243"/>
      <c r="F74" s="244">
        <f t="shared" si="6"/>
        <v>0</v>
      </c>
    </row>
    <row r="75" spans="1:18">
      <c r="B75" s="242"/>
      <c r="C75" s="266"/>
      <c r="D75" s="242"/>
      <c r="E75" s="243"/>
      <c r="F75" s="244">
        <f t="shared" si="6"/>
        <v>0</v>
      </c>
    </row>
    <row r="76" spans="1:18">
      <c r="B76" s="242"/>
      <c r="C76" s="266"/>
      <c r="D76" s="242"/>
      <c r="E76" s="243"/>
      <c r="F76" s="244">
        <f t="shared" si="6"/>
        <v>0</v>
      </c>
    </row>
    <row r="77" spans="1:18">
      <c r="B77" s="242"/>
      <c r="C77" s="266"/>
      <c r="D77" s="242"/>
      <c r="E77" s="243"/>
      <c r="F77" s="244">
        <f t="shared" si="6"/>
        <v>0</v>
      </c>
    </row>
    <row r="78" spans="1:18">
      <c r="B78" s="429" t="s">
        <v>1</v>
      </c>
      <c r="C78" s="429"/>
      <c r="D78" s="429"/>
      <c r="E78" s="429"/>
      <c r="F78" s="21">
        <f>SUM(F72:F77)</f>
        <v>186000</v>
      </c>
    </row>
    <row r="79" spans="1:18">
      <c r="O79" t="s">
        <v>720</v>
      </c>
      <c r="R79">
        <v>2730000</v>
      </c>
    </row>
    <row r="80" spans="1:18">
      <c r="A80" s="420" t="s">
        <v>424</v>
      </c>
      <c r="B80" s="420"/>
      <c r="C80" s="420"/>
      <c r="D80" s="420"/>
      <c r="E80" s="420"/>
      <c r="F80" s="420"/>
      <c r="G80" s="420"/>
    </row>
    <row r="83" spans="1:7" ht="17.5">
      <c r="A83">
        <v>2.4</v>
      </c>
      <c r="B83" s="419" t="s">
        <v>383</v>
      </c>
      <c r="C83" s="419"/>
      <c r="D83" s="419"/>
      <c r="E83" s="419"/>
      <c r="F83" s="419"/>
    </row>
    <row r="85" spans="1:7" ht="29">
      <c r="B85" s="23" t="s">
        <v>146</v>
      </c>
      <c r="C85" s="61" t="s">
        <v>128</v>
      </c>
      <c r="D85" s="61" t="s">
        <v>153</v>
      </c>
      <c r="E85" s="61" t="s">
        <v>154</v>
      </c>
      <c r="F85" s="61" t="s">
        <v>160</v>
      </c>
    </row>
    <row r="86" spans="1:7">
      <c r="B86" s="242">
        <v>1</v>
      </c>
      <c r="C86" s="266" t="s">
        <v>710</v>
      </c>
      <c r="D86" s="242">
        <v>1</v>
      </c>
      <c r="E86" s="243">
        <v>388000</v>
      </c>
      <c r="F86" s="244">
        <f t="shared" ref="F86:F91" si="7">D86*E86</f>
        <v>388000</v>
      </c>
    </row>
    <row r="87" spans="1:7">
      <c r="B87" s="242"/>
      <c r="C87" s="266"/>
      <c r="D87" s="242"/>
      <c r="E87" s="243"/>
      <c r="F87" s="244">
        <f t="shared" si="7"/>
        <v>0</v>
      </c>
    </row>
    <row r="88" spans="1:7">
      <c r="B88" s="242"/>
      <c r="C88" s="266"/>
      <c r="D88" s="242"/>
      <c r="E88" s="243"/>
      <c r="F88" s="244">
        <f t="shared" si="7"/>
        <v>0</v>
      </c>
    </row>
    <row r="89" spans="1:7">
      <c r="B89" s="242"/>
      <c r="C89" s="266"/>
      <c r="D89" s="242"/>
      <c r="E89" s="243"/>
      <c r="F89" s="244">
        <f t="shared" si="7"/>
        <v>0</v>
      </c>
    </row>
    <row r="90" spans="1:7">
      <c r="B90" s="242"/>
      <c r="C90" s="266"/>
      <c r="D90" s="242"/>
      <c r="E90" s="243"/>
      <c r="F90" s="244">
        <f t="shared" si="7"/>
        <v>0</v>
      </c>
    </row>
    <row r="91" spans="1:7">
      <c r="B91" s="242"/>
      <c r="C91" s="266"/>
      <c r="D91" s="242"/>
      <c r="E91" s="243"/>
      <c r="F91" s="244">
        <f t="shared" si="7"/>
        <v>0</v>
      </c>
    </row>
    <row r="92" spans="1:7">
      <c r="B92" s="429" t="s">
        <v>1</v>
      </c>
      <c r="C92" s="429"/>
      <c r="D92" s="429"/>
      <c r="E92" s="429"/>
      <c r="F92" s="21">
        <f>SUM(F86:F91)</f>
        <v>388000</v>
      </c>
    </row>
    <row r="94" spans="1:7">
      <c r="A94" s="420" t="s">
        <v>424</v>
      </c>
      <c r="B94" s="420"/>
      <c r="C94" s="420"/>
      <c r="D94" s="420"/>
      <c r="E94" s="420"/>
      <c r="F94" s="420"/>
      <c r="G94" s="420"/>
    </row>
    <row r="97" spans="1:7" ht="17.5">
      <c r="A97">
        <v>2.5</v>
      </c>
      <c r="B97" s="419" t="s">
        <v>657</v>
      </c>
      <c r="C97" s="419"/>
      <c r="D97" s="419"/>
      <c r="E97" s="419"/>
      <c r="F97" s="419"/>
    </row>
    <row r="99" spans="1:7" ht="28">
      <c r="B99" s="214" t="s">
        <v>146</v>
      </c>
      <c r="C99" s="215" t="s">
        <v>128</v>
      </c>
      <c r="D99" s="215" t="s">
        <v>153</v>
      </c>
      <c r="E99" s="215" t="s">
        <v>154</v>
      </c>
      <c r="F99" s="215" t="s">
        <v>160</v>
      </c>
    </row>
    <row r="100" spans="1:7">
      <c r="B100" s="240">
        <v>1</v>
      </c>
      <c r="C100" t="s">
        <v>718</v>
      </c>
      <c r="D100" s="240">
        <v>1</v>
      </c>
      <c r="E100" s="245">
        <v>972982</v>
      </c>
      <c r="F100" s="234">
        <f>E100*D100</f>
        <v>972982</v>
      </c>
    </row>
    <row r="101" spans="1:7">
      <c r="B101" s="240"/>
      <c r="C101" s="241"/>
      <c r="D101" s="240"/>
      <c r="E101" s="245"/>
      <c r="F101" s="234">
        <f>E101*D101</f>
        <v>0</v>
      </c>
    </row>
    <row r="102" spans="1:7">
      <c r="B102" s="240"/>
      <c r="C102" s="241"/>
      <c r="D102" s="240"/>
      <c r="E102" s="245"/>
      <c r="F102" s="234">
        <f>E102*D102</f>
        <v>0</v>
      </c>
    </row>
    <row r="103" spans="1:7">
      <c r="B103" s="423" t="s">
        <v>1</v>
      </c>
      <c r="C103" s="423"/>
      <c r="D103" s="423"/>
      <c r="E103" s="423"/>
      <c r="F103" s="217">
        <f>SUM(F100:F102)</f>
        <v>972982</v>
      </c>
    </row>
    <row r="104" spans="1:7">
      <c r="A104" s="428" t="s">
        <v>457</v>
      </c>
      <c r="B104" s="428"/>
      <c r="C104" s="428"/>
      <c r="D104" s="428"/>
      <c r="E104" s="428"/>
      <c r="F104" s="428"/>
      <c r="G104" s="428"/>
    </row>
    <row r="107" spans="1:7" ht="17.5">
      <c r="A107">
        <v>2.6</v>
      </c>
      <c r="B107" s="419" t="s">
        <v>258</v>
      </c>
      <c r="C107" s="419"/>
      <c r="D107" s="419"/>
    </row>
    <row r="108" spans="1:7" ht="15" thickBot="1"/>
    <row r="109" spans="1:7" ht="28.5" thickBot="1">
      <c r="B109" s="226" t="s">
        <v>146</v>
      </c>
      <c r="C109" s="227" t="s">
        <v>128</v>
      </c>
      <c r="D109" s="227" t="s">
        <v>382</v>
      </c>
    </row>
    <row r="110" spans="1:7" ht="15" thickBot="1">
      <c r="B110" s="267">
        <v>1</v>
      </c>
      <c r="C110" s="268" t="s">
        <v>726</v>
      </c>
      <c r="D110" s="246">
        <v>875000</v>
      </c>
    </row>
    <row r="111" spans="1:7" ht="15" thickBot="1">
      <c r="B111" s="267">
        <v>2</v>
      </c>
      <c r="C111" s="268"/>
      <c r="D111" s="246"/>
    </row>
    <row r="112" spans="1:7" ht="15" thickBot="1">
      <c r="B112" s="267">
        <v>3</v>
      </c>
      <c r="C112" s="268"/>
      <c r="D112" s="246"/>
    </row>
    <row r="113" spans="1:5" ht="15" thickBot="1">
      <c r="B113" s="267"/>
      <c r="C113" s="268"/>
      <c r="D113" s="246"/>
    </row>
    <row r="114" spans="1:5" ht="15" thickBot="1">
      <c r="B114" s="267"/>
      <c r="C114" s="268"/>
      <c r="D114" s="246"/>
    </row>
    <row r="115" spans="1:5" ht="15" thickBot="1">
      <c r="B115" s="425" t="s">
        <v>1</v>
      </c>
      <c r="C115" s="426"/>
      <c r="D115" s="247">
        <f>SUM(D110:D114)</f>
        <v>875000</v>
      </c>
    </row>
    <row r="117" spans="1:5" ht="26.15" customHeight="1">
      <c r="A117" s="427" t="s">
        <v>458</v>
      </c>
      <c r="B117" s="427"/>
      <c r="C117" s="427"/>
      <c r="D117" s="427"/>
      <c r="E117" s="427"/>
    </row>
  </sheetData>
  <mergeCells count="22">
    <mergeCell ref="B115:C115"/>
    <mergeCell ref="A117:E117"/>
    <mergeCell ref="B61:C61"/>
    <mergeCell ref="A94:G94"/>
    <mergeCell ref="B103:E103"/>
    <mergeCell ref="B97:F97"/>
    <mergeCell ref="A104:G104"/>
    <mergeCell ref="B107:D107"/>
    <mergeCell ref="B78:E78"/>
    <mergeCell ref="B69:F69"/>
    <mergeCell ref="A80:G80"/>
    <mergeCell ref="B92:E92"/>
    <mergeCell ref="B83:F83"/>
    <mergeCell ref="B12:F12"/>
    <mergeCell ref="B2:G2"/>
    <mergeCell ref="B15:G15"/>
    <mergeCell ref="B65:H65"/>
    <mergeCell ref="B63:F63"/>
    <mergeCell ref="B17:H17"/>
    <mergeCell ref="B32:C32"/>
    <mergeCell ref="B47:C47"/>
    <mergeCell ref="B55:C55"/>
  </mergeCells>
  <pageMargins left="0.7" right="0.7"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tabSelected="1" view="pageBreakPreview" zoomScale="80" zoomScaleSheetLayoutView="80" workbookViewId="0">
      <selection activeCell="A32" sqref="A32:I68"/>
    </sheetView>
  </sheetViews>
  <sheetFormatPr defaultRowHeight="14.5"/>
  <cols>
    <col min="1" max="1" width="41.26953125" customWidth="1"/>
    <col min="2" max="2" width="14.54296875" bestFit="1" customWidth="1"/>
    <col min="3" max="3" width="13.26953125" customWidth="1"/>
    <col min="4" max="4" width="13.453125" customWidth="1"/>
    <col min="5" max="5" width="14.81640625" customWidth="1"/>
    <col min="6" max="7" width="14.7265625" bestFit="1" customWidth="1"/>
    <col min="8" max="8" width="14.81640625" bestFit="1" customWidth="1"/>
    <col min="9" max="9" width="14.81640625" customWidth="1"/>
    <col min="10" max="10" width="14.7265625" bestFit="1" customWidth="1"/>
    <col min="11" max="11" width="14.81640625" customWidth="1"/>
    <col min="12" max="17" width="10.54296875" bestFit="1" customWidth="1"/>
  </cols>
  <sheetData>
    <row r="2" spans="1:11" ht="17.5">
      <c r="A2" s="417" t="s">
        <v>571</v>
      </c>
      <c r="B2" s="417"/>
      <c r="C2" s="417"/>
      <c r="D2" s="417"/>
      <c r="E2" s="417"/>
      <c r="F2" s="417"/>
      <c r="G2" s="417"/>
      <c r="H2" s="417"/>
      <c r="I2" s="417"/>
      <c r="J2" s="417"/>
      <c r="K2" s="417"/>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400</v>
      </c>
      <c r="D6" s="148" t="s">
        <v>292</v>
      </c>
      <c r="E6" s="120" t="s">
        <v>2</v>
      </c>
      <c r="F6" s="120" t="s">
        <v>3</v>
      </c>
      <c r="G6" s="120" t="s">
        <v>4</v>
      </c>
      <c r="H6" s="120" t="s">
        <v>5</v>
      </c>
      <c r="I6" s="120" t="s">
        <v>6</v>
      </c>
      <c r="J6" s="120" t="s">
        <v>171</v>
      </c>
      <c r="K6" s="120" t="s">
        <v>170</v>
      </c>
    </row>
    <row r="7" spans="1:11">
      <c r="A7" s="95"/>
      <c r="B7" s="95"/>
      <c r="C7" s="95"/>
      <c r="D7" s="95"/>
      <c r="E7" s="95"/>
      <c r="F7" s="95"/>
      <c r="G7" s="95"/>
      <c r="H7" s="95"/>
      <c r="I7" s="95"/>
      <c r="J7" s="95"/>
      <c r="K7" s="95"/>
    </row>
    <row r="8" spans="1:11">
      <c r="A8" s="95" t="s">
        <v>335</v>
      </c>
      <c r="B8" s="95" t="s">
        <v>401</v>
      </c>
      <c r="C8" s="233">
        <v>6</v>
      </c>
      <c r="D8" s="257">
        <v>25000</v>
      </c>
      <c r="E8" s="96">
        <f>$C8*$D8*12*E$4</f>
        <v>1800000</v>
      </c>
      <c r="F8" s="96">
        <f t="shared" ref="F8:K8" si="1">$C8*$D8*12*F$4</f>
        <v>1890000</v>
      </c>
      <c r="G8" s="96">
        <f t="shared" si="1"/>
        <v>1984500</v>
      </c>
      <c r="H8" s="96">
        <f t="shared" si="1"/>
        <v>2083725.0000000002</v>
      </c>
      <c r="I8" s="96">
        <f t="shared" si="1"/>
        <v>2187911.2500000005</v>
      </c>
      <c r="J8" s="96">
        <f t="shared" si="1"/>
        <v>2297306.8125000005</v>
      </c>
      <c r="K8" s="96">
        <f t="shared" si="1"/>
        <v>2412172.1531250007</v>
      </c>
    </row>
    <row r="9" spans="1:11">
      <c r="A9" s="95" t="s">
        <v>191</v>
      </c>
      <c r="B9" s="95" t="s">
        <v>401</v>
      </c>
      <c r="C9" s="233">
        <v>2</v>
      </c>
      <c r="D9" s="257">
        <v>15000</v>
      </c>
      <c r="E9" s="96">
        <f>$C9*$D9*12*E$4</f>
        <v>360000</v>
      </c>
      <c r="F9" s="96">
        <f t="shared" ref="F9:K10" si="2">$C9*$D9*12*F$4</f>
        <v>378000</v>
      </c>
      <c r="G9" s="96">
        <f t="shared" si="2"/>
        <v>396900</v>
      </c>
      <c r="H9" s="96">
        <f t="shared" si="2"/>
        <v>416745.00000000006</v>
      </c>
      <c r="I9" s="96">
        <f t="shared" si="2"/>
        <v>437582.25000000006</v>
      </c>
      <c r="J9" s="96">
        <f t="shared" si="2"/>
        <v>459461.3625000001</v>
      </c>
      <c r="K9" s="96">
        <f t="shared" si="2"/>
        <v>482434.43062500015</v>
      </c>
    </row>
    <row r="10" spans="1:11">
      <c r="A10" s="95" t="s">
        <v>196</v>
      </c>
      <c r="B10" s="95" t="s">
        <v>401</v>
      </c>
      <c r="C10" s="233">
        <v>2</v>
      </c>
      <c r="D10" s="257">
        <v>12000</v>
      </c>
      <c r="E10" s="96">
        <f>$C10*$D10*12*E$4</f>
        <v>288000</v>
      </c>
      <c r="F10" s="96">
        <f t="shared" si="2"/>
        <v>302400</v>
      </c>
      <c r="G10" s="96">
        <f t="shared" si="2"/>
        <v>317520</v>
      </c>
      <c r="H10" s="96">
        <f t="shared" si="2"/>
        <v>333396.00000000006</v>
      </c>
      <c r="I10" s="96">
        <f t="shared" si="2"/>
        <v>350065.80000000005</v>
      </c>
      <c r="J10" s="96">
        <f t="shared" si="2"/>
        <v>367569.09000000008</v>
      </c>
      <c r="K10" s="96">
        <f t="shared" si="2"/>
        <v>385947.54450000013</v>
      </c>
    </row>
    <row r="11" spans="1:11">
      <c r="A11" s="95" t="s">
        <v>131</v>
      </c>
      <c r="B11" s="95" t="s">
        <v>402</v>
      </c>
      <c r="C11" s="95">
        <v>12</v>
      </c>
      <c r="D11" s="257">
        <v>1000</v>
      </c>
      <c r="E11" s="96">
        <f>$C11*$D11*E$4</f>
        <v>12000</v>
      </c>
      <c r="F11" s="96">
        <f t="shared" ref="F11:K15" si="3">$C11*$D11*F$4</f>
        <v>12600</v>
      </c>
      <c r="G11" s="96">
        <f t="shared" si="3"/>
        <v>13230</v>
      </c>
      <c r="H11" s="96">
        <f t="shared" si="3"/>
        <v>13891.500000000002</v>
      </c>
      <c r="I11" s="96">
        <f t="shared" si="3"/>
        <v>14586.075000000003</v>
      </c>
      <c r="J11" s="96">
        <f t="shared" si="3"/>
        <v>15315.378750000003</v>
      </c>
      <c r="K11" s="96">
        <f t="shared" si="3"/>
        <v>16081.147687500004</v>
      </c>
    </row>
    <row r="12" spans="1:11">
      <c r="A12" s="95" t="s">
        <v>10</v>
      </c>
      <c r="B12" s="95" t="s">
        <v>402</v>
      </c>
      <c r="C12" s="95">
        <v>12</v>
      </c>
      <c r="D12" s="257">
        <v>4000</v>
      </c>
      <c r="E12" s="96">
        <f t="shared" ref="E12:E15" si="4">$C12*$D12*E$4</f>
        <v>48000</v>
      </c>
      <c r="F12" s="96">
        <f t="shared" si="3"/>
        <v>50400</v>
      </c>
      <c r="G12" s="96">
        <f t="shared" si="3"/>
        <v>52920</v>
      </c>
      <c r="H12" s="96">
        <f t="shared" si="3"/>
        <v>55566.000000000007</v>
      </c>
      <c r="I12" s="96">
        <f t="shared" si="3"/>
        <v>58344.30000000001</v>
      </c>
      <c r="J12" s="96">
        <f t="shared" si="3"/>
        <v>61261.515000000014</v>
      </c>
      <c r="K12" s="96">
        <f t="shared" si="3"/>
        <v>64324.590750000018</v>
      </c>
    </row>
    <row r="13" spans="1:11">
      <c r="A13" s="95" t="s">
        <v>192</v>
      </c>
      <c r="B13" s="95" t="s">
        <v>402</v>
      </c>
      <c r="C13" s="95">
        <v>12</v>
      </c>
      <c r="D13" s="257">
        <v>250</v>
      </c>
      <c r="E13" s="96">
        <f t="shared" si="4"/>
        <v>3000</v>
      </c>
      <c r="F13" s="96">
        <f t="shared" si="3"/>
        <v>3150</v>
      </c>
      <c r="G13" s="96">
        <f t="shared" si="3"/>
        <v>3307.5</v>
      </c>
      <c r="H13" s="96">
        <f t="shared" si="3"/>
        <v>3472.8750000000005</v>
      </c>
      <c r="I13" s="96">
        <f t="shared" si="3"/>
        <v>3646.5187500000006</v>
      </c>
      <c r="J13" s="96">
        <f t="shared" si="3"/>
        <v>3828.8446875000009</v>
      </c>
      <c r="K13" s="96">
        <f t="shared" si="3"/>
        <v>4020.2869218750011</v>
      </c>
    </row>
    <row r="14" spans="1:11">
      <c r="A14" s="95" t="s">
        <v>162</v>
      </c>
      <c r="B14" s="95" t="s">
        <v>402</v>
      </c>
      <c r="C14" s="95">
        <v>12</v>
      </c>
      <c r="D14" s="257">
        <v>0</v>
      </c>
      <c r="E14" s="96">
        <f t="shared" si="4"/>
        <v>0</v>
      </c>
      <c r="F14" s="96">
        <f t="shared" si="3"/>
        <v>0</v>
      </c>
      <c r="G14" s="96">
        <f t="shared" si="3"/>
        <v>0</v>
      </c>
      <c r="H14" s="96">
        <f t="shared" si="3"/>
        <v>0</v>
      </c>
      <c r="I14" s="96">
        <f t="shared" si="3"/>
        <v>0</v>
      </c>
      <c r="J14" s="96">
        <f t="shared" si="3"/>
        <v>0</v>
      </c>
      <c r="K14" s="96">
        <f t="shared" si="3"/>
        <v>0</v>
      </c>
    </row>
    <row r="15" spans="1:11">
      <c r="A15" s="95" t="s">
        <v>193</v>
      </c>
      <c r="B15" s="95" t="s">
        <v>402</v>
      </c>
      <c r="C15" s="95">
        <v>12</v>
      </c>
      <c r="D15" s="257">
        <v>25000</v>
      </c>
      <c r="E15" s="96">
        <f t="shared" si="4"/>
        <v>300000</v>
      </c>
      <c r="F15" s="96">
        <f t="shared" si="3"/>
        <v>315000</v>
      </c>
      <c r="G15" s="96">
        <f t="shared" si="3"/>
        <v>330750</v>
      </c>
      <c r="H15" s="96">
        <f t="shared" si="3"/>
        <v>347287.50000000006</v>
      </c>
      <c r="I15" s="96">
        <f t="shared" si="3"/>
        <v>364651.87500000006</v>
      </c>
      <c r="J15" s="96">
        <f t="shared" si="3"/>
        <v>382884.46875000012</v>
      </c>
      <c r="K15" s="96">
        <f t="shared" si="3"/>
        <v>402028.69218750013</v>
      </c>
    </row>
    <row r="16" spans="1:11">
      <c r="A16" s="95" t="s">
        <v>194</v>
      </c>
      <c r="B16" s="95" t="s">
        <v>403</v>
      </c>
      <c r="C16" s="95">
        <v>1</v>
      </c>
      <c r="D16" s="257">
        <v>50000</v>
      </c>
      <c r="E16" s="96">
        <f>$D16*E$4*$C16</f>
        <v>50000</v>
      </c>
      <c r="F16" s="96">
        <f t="shared" ref="F16:K22" si="5">$D16*F$4*$C16</f>
        <v>52500</v>
      </c>
      <c r="G16" s="96">
        <f t="shared" si="5"/>
        <v>55125</v>
      </c>
      <c r="H16" s="96">
        <f t="shared" si="5"/>
        <v>57881.250000000007</v>
      </c>
      <c r="I16" s="96">
        <f t="shared" si="5"/>
        <v>60775.312500000015</v>
      </c>
      <c r="J16" s="96">
        <f t="shared" si="5"/>
        <v>63814.078125000015</v>
      </c>
      <c r="K16" s="96">
        <f t="shared" si="5"/>
        <v>67004.782031250026</v>
      </c>
    </row>
    <row r="17" spans="1:17">
      <c r="A17" s="95"/>
      <c r="B17" s="95"/>
      <c r="C17" s="95"/>
      <c r="D17" s="257"/>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7"/>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2861000</v>
      </c>
      <c r="F23" s="115">
        <f t="shared" ref="F23:K23" si="7">SUM(F8:F22)</f>
        <v>3004050</v>
      </c>
      <c r="G23" s="115">
        <f t="shared" si="7"/>
        <v>3154252.5</v>
      </c>
      <c r="H23" s="115">
        <f t="shared" si="7"/>
        <v>3311965.1250000005</v>
      </c>
      <c r="I23" s="115">
        <f t="shared" si="7"/>
        <v>3477563.3812500006</v>
      </c>
      <c r="J23" s="115">
        <f t="shared" si="7"/>
        <v>3651441.5503125009</v>
      </c>
      <c r="K23" s="115">
        <f t="shared" si="7"/>
        <v>3834013.6278281263</v>
      </c>
    </row>
    <row r="28" spans="1:17">
      <c r="A28" s="432"/>
      <c r="B28" s="432"/>
      <c r="C28" s="432"/>
      <c r="D28" s="432"/>
      <c r="E28" s="432"/>
      <c r="F28" s="432"/>
      <c r="G28" s="432"/>
      <c r="H28" s="432"/>
      <c r="I28" s="432"/>
      <c r="J28" s="432"/>
      <c r="K28" s="432"/>
      <c r="L28" s="432"/>
      <c r="M28" s="432"/>
      <c r="N28" s="432"/>
      <c r="O28" s="432"/>
    </row>
    <row r="29" spans="1:17" ht="17.5">
      <c r="A29" s="430" t="s">
        <v>572</v>
      </c>
      <c r="B29" s="430"/>
      <c r="C29" s="430"/>
      <c r="D29" s="430"/>
      <c r="E29" s="430"/>
      <c r="F29" s="430"/>
      <c r="G29" s="430"/>
      <c r="H29" s="430"/>
      <c r="I29" s="430"/>
      <c r="J29" s="430"/>
      <c r="K29" s="430"/>
      <c r="L29" s="430"/>
      <c r="M29" s="430"/>
      <c r="N29" s="430"/>
      <c r="O29" s="430"/>
      <c r="P29" s="430"/>
      <c r="Q29" s="430"/>
    </row>
    <row r="30" spans="1:17" s="13" customFormat="1">
      <c r="A30" s="149"/>
      <c r="B30" s="149"/>
      <c r="C30" s="149"/>
      <c r="D30" s="149"/>
      <c r="E30" s="149"/>
      <c r="F30" s="149"/>
      <c r="G30" s="149"/>
      <c r="H30" s="149"/>
      <c r="I30" s="149"/>
      <c r="J30" s="149"/>
      <c r="K30" s="149"/>
      <c r="L30" s="149"/>
      <c r="M30" s="149"/>
      <c r="N30" s="149"/>
      <c r="O30" s="149"/>
    </row>
    <row r="31" spans="1:17">
      <c r="A31" s="94"/>
      <c r="B31" s="94"/>
      <c r="C31" s="433" t="s">
        <v>197</v>
      </c>
      <c r="D31" s="433"/>
      <c r="E31" s="433"/>
      <c r="F31" s="433"/>
      <c r="G31" s="433"/>
      <c r="H31" s="433"/>
      <c r="I31" s="433"/>
      <c r="J31" s="94"/>
      <c r="K31" s="434" t="s">
        <v>198</v>
      </c>
      <c r="L31" s="434"/>
      <c r="M31" s="434"/>
      <c r="N31" s="434"/>
      <c r="O31" s="434"/>
      <c r="P31" s="434"/>
      <c r="Q31" s="434"/>
    </row>
    <row r="32" spans="1:17">
      <c r="A32" s="169" t="s">
        <v>0</v>
      </c>
      <c r="B32" s="162"/>
      <c r="C32" s="59" t="s">
        <v>2</v>
      </c>
      <c r="D32" s="59" t="s">
        <v>3</v>
      </c>
      <c r="E32" s="59" t="s">
        <v>4</v>
      </c>
      <c r="F32" s="59" t="s">
        <v>5</v>
      </c>
      <c r="G32" s="59" t="s">
        <v>6</v>
      </c>
      <c r="H32" s="59" t="s">
        <v>171</v>
      </c>
      <c r="I32" s="59" t="s">
        <v>170</v>
      </c>
      <c r="J32" s="170"/>
      <c r="K32" s="59" t="s">
        <v>2</v>
      </c>
      <c r="L32" s="59" t="s">
        <v>3</v>
      </c>
      <c r="M32" s="59" t="s">
        <v>4</v>
      </c>
      <c r="N32" s="59" t="s">
        <v>5</v>
      </c>
      <c r="O32" s="59" t="s">
        <v>6</v>
      </c>
      <c r="P32" s="59" t="s">
        <v>171</v>
      </c>
      <c r="Q32" s="59" t="s">
        <v>170</v>
      </c>
    </row>
    <row r="33" spans="1:17">
      <c r="A33" s="163" t="s">
        <v>199</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203</v>
      </c>
      <c r="B36" s="166"/>
      <c r="C36" s="99"/>
      <c r="D36" s="99"/>
      <c r="E36" s="99"/>
      <c r="F36" s="99"/>
      <c r="G36" s="99"/>
      <c r="H36" s="99"/>
      <c r="I36" s="99"/>
      <c r="J36" s="99"/>
      <c r="K36" s="99"/>
      <c r="L36" s="99"/>
      <c r="M36" s="99"/>
      <c r="N36" s="99"/>
      <c r="O36" s="99"/>
      <c r="P36" s="99"/>
      <c r="Q36" s="99"/>
    </row>
    <row r="37" spans="1:17">
      <c r="A37" s="165" t="s">
        <v>200</v>
      </c>
      <c r="B37" s="165"/>
      <c r="C37" s="167">
        <f>'1.Project Cost and MOF'!D5</f>
        <v>23707346.289999999</v>
      </c>
      <c r="D37" s="167">
        <f t="shared" ref="D37:I37" si="8">C40</f>
        <v>22955823.412606999</v>
      </c>
      <c r="E37" s="167">
        <f t="shared" si="8"/>
        <v>22204300.535213999</v>
      </c>
      <c r="F37" s="167">
        <f t="shared" si="8"/>
        <v>21452777.657821</v>
      </c>
      <c r="G37" s="167">
        <f t="shared" si="8"/>
        <v>20701254.780428</v>
      </c>
      <c r="H37" s="167">
        <f t="shared" si="8"/>
        <v>19949731.903035</v>
      </c>
      <c r="I37" s="167">
        <f t="shared" si="8"/>
        <v>19198209.025642</v>
      </c>
      <c r="J37" s="99"/>
      <c r="K37" s="167">
        <f>C37</f>
        <v>23707346.289999999</v>
      </c>
      <c r="L37" s="167">
        <f t="shared" ref="L37:Q37" si="9">K40</f>
        <v>21336611.660999998</v>
      </c>
      <c r="M37" s="167">
        <f t="shared" si="9"/>
        <v>19202950.494899999</v>
      </c>
      <c r="N37" s="167">
        <f t="shared" si="9"/>
        <v>17282655.445409998</v>
      </c>
      <c r="O37" s="167">
        <f t="shared" si="9"/>
        <v>15554389.900868999</v>
      </c>
      <c r="P37" s="167">
        <f t="shared" si="9"/>
        <v>13998950.910782099</v>
      </c>
      <c r="Q37" s="167">
        <f t="shared" si="9"/>
        <v>12599055.819703888</v>
      </c>
    </row>
    <row r="38" spans="1:17">
      <c r="A38" s="165" t="s">
        <v>17</v>
      </c>
      <c r="B38" s="165"/>
      <c r="C38" s="167">
        <f t="shared" ref="C38:I38" si="10">$C$37*$B$74</f>
        <v>751522.87739299994</v>
      </c>
      <c r="D38" s="167">
        <f t="shared" si="10"/>
        <v>751522.87739299994</v>
      </c>
      <c r="E38" s="167">
        <f t="shared" si="10"/>
        <v>751522.87739299994</v>
      </c>
      <c r="F38" s="167">
        <f t="shared" si="10"/>
        <v>751522.87739299994</v>
      </c>
      <c r="G38" s="167">
        <f t="shared" si="10"/>
        <v>751522.87739299994</v>
      </c>
      <c r="H38" s="167">
        <f t="shared" si="10"/>
        <v>751522.87739299994</v>
      </c>
      <c r="I38" s="167">
        <f t="shared" si="10"/>
        <v>751522.87739299994</v>
      </c>
      <c r="J38" s="99"/>
      <c r="K38" s="167">
        <f t="shared" ref="K38:Q38" si="11">K37*$C$74</f>
        <v>2370734.6290000002</v>
      </c>
      <c r="L38" s="167">
        <f t="shared" si="11"/>
        <v>2133661.1661</v>
      </c>
      <c r="M38" s="167">
        <f t="shared" si="11"/>
        <v>1920295.0494900001</v>
      </c>
      <c r="N38" s="167">
        <f t="shared" si="11"/>
        <v>1728265.5445409999</v>
      </c>
      <c r="O38" s="167">
        <f t="shared" si="11"/>
        <v>1555438.9900869001</v>
      </c>
      <c r="P38" s="167">
        <f t="shared" si="11"/>
        <v>1399895.0910782099</v>
      </c>
      <c r="Q38" s="167">
        <f t="shared" si="11"/>
        <v>1259905.581970389</v>
      </c>
    </row>
    <row r="39" spans="1:17">
      <c r="A39" s="165" t="s">
        <v>201</v>
      </c>
      <c r="B39" s="165"/>
      <c r="C39" s="167">
        <f>C38</f>
        <v>751522.87739299994</v>
      </c>
      <c r="D39" s="167">
        <f t="shared" ref="D39:I39" si="12">C39+D38</f>
        <v>1503045.7547859999</v>
      </c>
      <c r="E39" s="167">
        <f t="shared" si="12"/>
        <v>2254568.6321789999</v>
      </c>
      <c r="F39" s="167">
        <f t="shared" si="12"/>
        <v>3006091.5095719998</v>
      </c>
      <c r="G39" s="167">
        <f t="shared" si="12"/>
        <v>3757614.3869649996</v>
      </c>
      <c r="H39" s="167">
        <f t="shared" si="12"/>
        <v>4509137.2643579999</v>
      </c>
      <c r="I39" s="167">
        <f t="shared" si="12"/>
        <v>5260660.1417509997</v>
      </c>
      <c r="J39" s="99"/>
      <c r="K39" s="167">
        <f>K38</f>
        <v>2370734.6290000002</v>
      </c>
      <c r="L39" s="167">
        <f t="shared" ref="L39:Q39" si="13">K39+L38</f>
        <v>4504395.7950999998</v>
      </c>
      <c r="M39" s="167">
        <f t="shared" si="13"/>
        <v>6424690.8445899999</v>
      </c>
      <c r="N39" s="167">
        <f t="shared" si="13"/>
        <v>8152956.3891310003</v>
      </c>
      <c r="O39" s="167">
        <f t="shared" si="13"/>
        <v>9708395.3792179003</v>
      </c>
      <c r="P39" s="167">
        <f t="shared" si="13"/>
        <v>11108290.470296111</v>
      </c>
      <c r="Q39" s="167">
        <f t="shared" si="13"/>
        <v>12368196.052266501</v>
      </c>
    </row>
    <row r="40" spans="1:17">
      <c r="A40" s="165" t="s">
        <v>202</v>
      </c>
      <c r="B40" s="165"/>
      <c r="C40" s="167">
        <f t="shared" ref="C40:I40" si="14">C37-C38</f>
        <v>22955823.412606999</v>
      </c>
      <c r="D40" s="167">
        <f t="shared" si="14"/>
        <v>22204300.535213999</v>
      </c>
      <c r="E40" s="167">
        <f t="shared" si="14"/>
        <v>21452777.657821</v>
      </c>
      <c r="F40" s="167">
        <f t="shared" si="14"/>
        <v>20701254.780428</v>
      </c>
      <c r="G40" s="167">
        <f t="shared" si="14"/>
        <v>19949731.903035</v>
      </c>
      <c r="H40" s="167">
        <f t="shared" si="14"/>
        <v>19198209.025642</v>
      </c>
      <c r="I40" s="167">
        <f t="shared" si="14"/>
        <v>18446686.148249</v>
      </c>
      <c r="J40" s="99"/>
      <c r="K40" s="167">
        <f t="shared" ref="K40:Q40" si="15">K37-K38</f>
        <v>21336611.660999998</v>
      </c>
      <c r="L40" s="167">
        <f t="shared" si="15"/>
        <v>19202950.494899999</v>
      </c>
      <c r="M40" s="167">
        <f t="shared" si="15"/>
        <v>17282655.445409998</v>
      </c>
      <c r="N40" s="167">
        <f t="shared" si="15"/>
        <v>15554389.900868999</v>
      </c>
      <c r="O40" s="167">
        <f t="shared" si="15"/>
        <v>13998950.910782099</v>
      </c>
      <c r="P40" s="167">
        <f t="shared" si="15"/>
        <v>12599055.819703888</v>
      </c>
      <c r="Q40" s="167">
        <f t="shared" si="15"/>
        <v>11339150.237733498</v>
      </c>
    </row>
    <row r="41" spans="1:17">
      <c r="A41" s="165"/>
      <c r="B41" s="165"/>
      <c r="C41" s="167"/>
      <c r="D41" s="167"/>
      <c r="E41" s="167"/>
      <c r="F41" s="167"/>
      <c r="G41" s="167"/>
      <c r="H41" s="167"/>
      <c r="I41" s="167"/>
      <c r="J41" s="99"/>
      <c r="K41" s="167"/>
      <c r="L41" s="167"/>
      <c r="M41" s="167"/>
      <c r="N41" s="167"/>
      <c r="O41" s="167"/>
      <c r="P41" s="167"/>
      <c r="Q41" s="167"/>
    </row>
    <row r="42" spans="1:17">
      <c r="A42" s="166" t="s">
        <v>204</v>
      </c>
      <c r="B42" s="166"/>
      <c r="C42" s="167"/>
      <c r="D42" s="167"/>
      <c r="E42" s="167"/>
      <c r="F42" s="167"/>
      <c r="G42" s="167"/>
      <c r="H42" s="167"/>
      <c r="I42" s="167"/>
      <c r="J42" s="99"/>
      <c r="K42" s="167"/>
      <c r="L42" s="167"/>
      <c r="M42" s="167"/>
      <c r="N42" s="167"/>
      <c r="O42" s="167"/>
      <c r="P42" s="167"/>
      <c r="Q42" s="167"/>
    </row>
    <row r="43" spans="1:17">
      <c r="A43" s="165" t="s">
        <v>200</v>
      </c>
      <c r="B43" s="165"/>
      <c r="C43" s="167">
        <f>'1.Project Cost and MOF'!D6</f>
        <v>3373600</v>
      </c>
      <c r="D43" s="167">
        <f t="shared" ref="D43:I43" si="16">C46</f>
        <v>3160051.12</v>
      </c>
      <c r="E43" s="167">
        <f t="shared" si="16"/>
        <v>2946502.24</v>
      </c>
      <c r="F43" s="167">
        <f t="shared" si="16"/>
        <v>2732953.3600000003</v>
      </c>
      <c r="G43" s="167">
        <f t="shared" si="16"/>
        <v>2519404.4800000004</v>
      </c>
      <c r="H43" s="167">
        <f t="shared" si="16"/>
        <v>2305855.6000000006</v>
      </c>
      <c r="I43" s="167">
        <f t="shared" si="16"/>
        <v>2092306.7200000007</v>
      </c>
      <c r="J43" s="99"/>
      <c r="K43" s="167">
        <f>C43</f>
        <v>3373600</v>
      </c>
      <c r="L43" s="167">
        <f t="shared" ref="L43:Q43" si="17">K46</f>
        <v>2867560</v>
      </c>
      <c r="M43" s="167">
        <f t="shared" si="17"/>
        <v>2437426</v>
      </c>
      <c r="N43" s="167">
        <f t="shared" si="17"/>
        <v>2071812.1</v>
      </c>
      <c r="O43" s="167">
        <f t="shared" si="17"/>
        <v>1761040.2850000001</v>
      </c>
      <c r="P43" s="167">
        <f t="shared" si="17"/>
        <v>1496884.2422500001</v>
      </c>
      <c r="Q43" s="167">
        <f t="shared" si="17"/>
        <v>1272351.6059125001</v>
      </c>
    </row>
    <row r="44" spans="1:17">
      <c r="A44" s="165" t="s">
        <v>17</v>
      </c>
      <c r="B44" s="165"/>
      <c r="C44" s="167">
        <f t="shared" ref="C44:I44" si="18">$C$43*$B$78</f>
        <v>213548.87999999998</v>
      </c>
      <c r="D44" s="167">
        <f t="shared" si="18"/>
        <v>213548.87999999998</v>
      </c>
      <c r="E44" s="167">
        <f t="shared" si="18"/>
        <v>213548.87999999998</v>
      </c>
      <c r="F44" s="167">
        <f t="shared" si="18"/>
        <v>213548.87999999998</v>
      </c>
      <c r="G44" s="167">
        <f t="shared" si="18"/>
        <v>213548.87999999998</v>
      </c>
      <c r="H44" s="167">
        <f t="shared" si="18"/>
        <v>213548.87999999998</v>
      </c>
      <c r="I44" s="167">
        <f t="shared" si="18"/>
        <v>213548.87999999998</v>
      </c>
      <c r="J44" s="99"/>
      <c r="K44" s="167">
        <f t="shared" ref="K44:Q44" si="19">K43*$C$78</f>
        <v>506040</v>
      </c>
      <c r="L44" s="167">
        <f t="shared" si="19"/>
        <v>430134</v>
      </c>
      <c r="M44" s="167">
        <f t="shared" si="19"/>
        <v>365613.89999999997</v>
      </c>
      <c r="N44" s="167">
        <f t="shared" si="19"/>
        <v>310771.815</v>
      </c>
      <c r="O44" s="167">
        <f t="shared" si="19"/>
        <v>264156.04275000002</v>
      </c>
      <c r="P44" s="167">
        <f t="shared" si="19"/>
        <v>224532.63633750001</v>
      </c>
      <c r="Q44" s="167">
        <f t="shared" si="19"/>
        <v>190852.74088687499</v>
      </c>
    </row>
    <row r="45" spans="1:17">
      <c r="A45" s="165" t="s">
        <v>201</v>
      </c>
      <c r="B45" s="165"/>
      <c r="C45" s="167">
        <f>C44</f>
        <v>213548.87999999998</v>
      </c>
      <c r="D45" s="167">
        <f t="shared" ref="D45:I45" si="20">C45+D44</f>
        <v>427097.75999999995</v>
      </c>
      <c r="E45" s="167">
        <f t="shared" si="20"/>
        <v>640646.6399999999</v>
      </c>
      <c r="F45" s="167">
        <f t="shared" si="20"/>
        <v>854195.5199999999</v>
      </c>
      <c r="G45" s="167">
        <f t="shared" si="20"/>
        <v>1067744.3999999999</v>
      </c>
      <c r="H45" s="167">
        <f t="shared" si="20"/>
        <v>1281293.2799999998</v>
      </c>
      <c r="I45" s="167">
        <f t="shared" si="20"/>
        <v>1494842.1599999997</v>
      </c>
      <c r="J45" s="99"/>
      <c r="K45" s="167">
        <f>K44</f>
        <v>506040</v>
      </c>
      <c r="L45" s="167">
        <f t="shared" ref="L45:Q45" si="21">K45+L44</f>
        <v>936174</v>
      </c>
      <c r="M45" s="167">
        <f t="shared" si="21"/>
        <v>1301787.8999999999</v>
      </c>
      <c r="N45" s="167">
        <f t="shared" si="21"/>
        <v>1612559.7149999999</v>
      </c>
      <c r="O45" s="167">
        <f t="shared" si="21"/>
        <v>1876715.7577499999</v>
      </c>
      <c r="P45" s="167">
        <f t="shared" si="21"/>
        <v>2101248.3940874999</v>
      </c>
      <c r="Q45" s="167">
        <f t="shared" si="21"/>
        <v>2292101.1349743749</v>
      </c>
    </row>
    <row r="46" spans="1:17">
      <c r="A46" s="165" t="s">
        <v>202</v>
      </c>
      <c r="B46" s="165"/>
      <c r="C46" s="167">
        <f t="shared" ref="C46:I46" si="22">C43-C44</f>
        <v>3160051.12</v>
      </c>
      <c r="D46" s="167">
        <f t="shared" si="22"/>
        <v>2946502.24</v>
      </c>
      <c r="E46" s="167">
        <f t="shared" si="22"/>
        <v>2732953.3600000003</v>
      </c>
      <c r="F46" s="167">
        <f t="shared" si="22"/>
        <v>2519404.4800000004</v>
      </c>
      <c r="G46" s="167">
        <f t="shared" si="22"/>
        <v>2305855.6000000006</v>
      </c>
      <c r="H46" s="167">
        <f t="shared" si="22"/>
        <v>2092306.7200000007</v>
      </c>
      <c r="I46" s="167">
        <f t="shared" si="22"/>
        <v>1878757.8400000008</v>
      </c>
      <c r="J46" s="99"/>
      <c r="K46" s="167">
        <f t="shared" ref="K46:Q46" si="23">K43-K44</f>
        <v>2867560</v>
      </c>
      <c r="L46" s="167">
        <f t="shared" si="23"/>
        <v>2437426</v>
      </c>
      <c r="M46" s="167">
        <f t="shared" si="23"/>
        <v>2071812.1</v>
      </c>
      <c r="N46" s="167">
        <f t="shared" si="23"/>
        <v>1761040.2850000001</v>
      </c>
      <c r="O46" s="167">
        <f t="shared" si="23"/>
        <v>1496884.2422500001</v>
      </c>
      <c r="P46" s="167">
        <f t="shared" si="23"/>
        <v>1272351.6059125001</v>
      </c>
      <c r="Q46" s="167">
        <f t="shared" si="23"/>
        <v>1081498.8650256251</v>
      </c>
    </row>
    <row r="47" spans="1:17">
      <c r="A47" s="165"/>
      <c r="B47" s="165"/>
      <c r="C47" s="167"/>
      <c r="D47" s="167"/>
      <c r="E47" s="167"/>
      <c r="F47" s="167"/>
      <c r="G47" s="167"/>
      <c r="H47" s="167"/>
      <c r="I47" s="167"/>
      <c r="J47" s="99"/>
      <c r="K47" s="167"/>
      <c r="L47" s="167"/>
      <c r="M47" s="167"/>
      <c r="N47" s="167"/>
      <c r="O47" s="167"/>
      <c r="P47" s="167"/>
      <c r="Q47" s="167"/>
    </row>
    <row r="48" spans="1:17">
      <c r="A48" s="166" t="s">
        <v>205</v>
      </c>
      <c r="B48" s="166"/>
      <c r="C48" s="167"/>
      <c r="D48" s="167"/>
      <c r="E48" s="167"/>
      <c r="F48" s="167"/>
      <c r="G48" s="167"/>
      <c r="H48" s="167"/>
      <c r="I48" s="167"/>
      <c r="J48" s="99"/>
      <c r="K48" s="167"/>
      <c r="L48" s="167"/>
      <c r="M48" s="167"/>
      <c r="N48" s="167"/>
      <c r="O48" s="167"/>
      <c r="P48" s="167"/>
      <c r="Q48" s="167"/>
    </row>
    <row r="49" spans="1:17">
      <c r="A49" s="165" t="s">
        <v>200</v>
      </c>
      <c r="B49" s="165"/>
      <c r="C49" s="167">
        <f>'1.Project Cost and MOF'!D7</f>
        <v>186000</v>
      </c>
      <c r="D49" s="167">
        <f t="shared" ref="D49:I49" si="24">C52</f>
        <v>167400</v>
      </c>
      <c r="E49" s="167">
        <f t="shared" si="24"/>
        <v>148800</v>
      </c>
      <c r="F49" s="167">
        <f t="shared" si="24"/>
        <v>130200</v>
      </c>
      <c r="G49" s="167">
        <f t="shared" si="24"/>
        <v>111600</v>
      </c>
      <c r="H49" s="167">
        <f t="shared" si="24"/>
        <v>93000</v>
      </c>
      <c r="I49" s="167">
        <f t="shared" si="24"/>
        <v>74400</v>
      </c>
      <c r="J49" s="99"/>
      <c r="K49" s="167">
        <f>C49</f>
        <v>186000</v>
      </c>
      <c r="L49" s="167">
        <f t="shared" ref="L49:Q49" si="25">K52</f>
        <v>167400</v>
      </c>
      <c r="M49" s="167">
        <f t="shared" si="25"/>
        <v>150660</v>
      </c>
      <c r="N49" s="167">
        <f t="shared" si="25"/>
        <v>135594</v>
      </c>
      <c r="O49" s="167">
        <f t="shared" si="25"/>
        <v>122034.6</v>
      </c>
      <c r="P49" s="167">
        <f t="shared" si="25"/>
        <v>109831.14</v>
      </c>
      <c r="Q49" s="167">
        <f t="shared" si="25"/>
        <v>98848.025999999998</v>
      </c>
    </row>
    <row r="50" spans="1:17">
      <c r="A50" s="165" t="s">
        <v>17</v>
      </c>
      <c r="B50" s="165"/>
      <c r="C50" s="167">
        <f t="shared" ref="C50:I50" si="26">$C$49*$B$75</f>
        <v>18600</v>
      </c>
      <c r="D50" s="167">
        <f t="shared" si="26"/>
        <v>18600</v>
      </c>
      <c r="E50" s="167">
        <f t="shared" si="26"/>
        <v>18600</v>
      </c>
      <c r="F50" s="167">
        <f t="shared" si="26"/>
        <v>18600</v>
      </c>
      <c r="G50" s="167">
        <f t="shared" si="26"/>
        <v>18600</v>
      </c>
      <c r="H50" s="167">
        <f t="shared" si="26"/>
        <v>18600</v>
      </c>
      <c r="I50" s="167">
        <f t="shared" si="26"/>
        <v>18600</v>
      </c>
      <c r="J50" s="99"/>
      <c r="K50" s="167">
        <f t="shared" ref="K50:Q50" si="27">K49*$C$75</f>
        <v>18600</v>
      </c>
      <c r="L50" s="167">
        <f t="shared" si="27"/>
        <v>16740</v>
      </c>
      <c r="M50" s="167">
        <f t="shared" si="27"/>
        <v>15066</v>
      </c>
      <c r="N50" s="167">
        <f t="shared" si="27"/>
        <v>13559.400000000001</v>
      </c>
      <c r="O50" s="167">
        <f t="shared" si="27"/>
        <v>12203.460000000001</v>
      </c>
      <c r="P50" s="167">
        <f t="shared" si="27"/>
        <v>10983.114000000001</v>
      </c>
      <c r="Q50" s="167">
        <f t="shared" si="27"/>
        <v>9884.8026000000009</v>
      </c>
    </row>
    <row r="51" spans="1:17">
      <c r="A51" s="165" t="s">
        <v>201</v>
      </c>
      <c r="B51" s="165"/>
      <c r="C51" s="167">
        <f>C50</f>
        <v>18600</v>
      </c>
      <c r="D51" s="167">
        <f t="shared" ref="D51:I51" si="28">C51+D50</f>
        <v>37200</v>
      </c>
      <c r="E51" s="167">
        <f t="shared" si="28"/>
        <v>55800</v>
      </c>
      <c r="F51" s="167">
        <f t="shared" si="28"/>
        <v>74400</v>
      </c>
      <c r="G51" s="167">
        <f t="shared" si="28"/>
        <v>93000</v>
      </c>
      <c r="H51" s="167">
        <f t="shared" si="28"/>
        <v>111600</v>
      </c>
      <c r="I51" s="167">
        <f t="shared" si="28"/>
        <v>130200</v>
      </c>
      <c r="J51" s="99"/>
      <c r="K51" s="167">
        <f>K50</f>
        <v>18600</v>
      </c>
      <c r="L51" s="167">
        <f t="shared" ref="L51:Q51" si="29">K51+L50</f>
        <v>35340</v>
      </c>
      <c r="M51" s="167">
        <f t="shared" si="29"/>
        <v>50406</v>
      </c>
      <c r="N51" s="167">
        <f t="shared" si="29"/>
        <v>63965.4</v>
      </c>
      <c r="O51" s="167">
        <f t="shared" si="29"/>
        <v>76168.86</v>
      </c>
      <c r="P51" s="167">
        <f t="shared" si="29"/>
        <v>87151.974000000002</v>
      </c>
      <c r="Q51" s="167">
        <f t="shared" si="29"/>
        <v>97036.776599999997</v>
      </c>
    </row>
    <row r="52" spans="1:17">
      <c r="A52" s="165" t="s">
        <v>202</v>
      </c>
      <c r="B52" s="165"/>
      <c r="C52" s="167">
        <f t="shared" ref="C52:I52" si="30">C49-C50</f>
        <v>167400</v>
      </c>
      <c r="D52" s="167">
        <f t="shared" si="30"/>
        <v>148800</v>
      </c>
      <c r="E52" s="167">
        <f t="shared" si="30"/>
        <v>130200</v>
      </c>
      <c r="F52" s="167">
        <f t="shared" si="30"/>
        <v>111600</v>
      </c>
      <c r="G52" s="167">
        <f t="shared" si="30"/>
        <v>93000</v>
      </c>
      <c r="H52" s="167">
        <f t="shared" si="30"/>
        <v>74400</v>
      </c>
      <c r="I52" s="167">
        <f t="shared" si="30"/>
        <v>55800</v>
      </c>
      <c r="J52" s="99"/>
      <c r="K52" s="167">
        <f t="shared" ref="K52:Q52" si="31">K49-K50</f>
        <v>167400</v>
      </c>
      <c r="L52" s="167">
        <f t="shared" si="31"/>
        <v>150660</v>
      </c>
      <c r="M52" s="167">
        <f t="shared" si="31"/>
        <v>135594</v>
      </c>
      <c r="N52" s="167">
        <f t="shared" si="31"/>
        <v>122034.6</v>
      </c>
      <c r="O52" s="167">
        <f t="shared" si="31"/>
        <v>109831.14</v>
      </c>
      <c r="P52" s="167">
        <f t="shared" si="31"/>
        <v>98848.025999999998</v>
      </c>
      <c r="Q52" s="167">
        <f t="shared" si="31"/>
        <v>88963.223400000003</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200</v>
      </c>
      <c r="B55" s="165"/>
      <c r="C55" s="167">
        <f>'1.Project Cost and MOF'!D9</f>
        <v>972982</v>
      </c>
      <c r="D55" s="167">
        <f t="shared" ref="D55:I55" si="32">C58</f>
        <v>857391.73840000003</v>
      </c>
      <c r="E55" s="167">
        <f t="shared" si="32"/>
        <v>741801.47680000006</v>
      </c>
      <c r="F55" s="167">
        <f t="shared" si="32"/>
        <v>626211.21520000009</v>
      </c>
      <c r="G55" s="167">
        <f t="shared" si="32"/>
        <v>510620.95360000012</v>
      </c>
      <c r="H55" s="167">
        <f t="shared" si="32"/>
        <v>395030.69200000016</v>
      </c>
      <c r="I55" s="167">
        <f t="shared" si="32"/>
        <v>279440.43040000019</v>
      </c>
      <c r="J55" s="99"/>
      <c r="K55" s="167">
        <f>C55</f>
        <v>972982</v>
      </c>
      <c r="L55" s="167">
        <f t="shared" ref="L55:Q55" si="33">K58</f>
        <v>827034.7</v>
      </c>
      <c r="M55" s="167">
        <f t="shared" si="33"/>
        <v>702979.495</v>
      </c>
      <c r="N55" s="167">
        <f t="shared" si="33"/>
        <v>597532.57074999996</v>
      </c>
      <c r="O55" s="167">
        <f t="shared" si="33"/>
        <v>507902.68513749994</v>
      </c>
      <c r="P55" s="167">
        <f t="shared" si="33"/>
        <v>431717.28236687498</v>
      </c>
      <c r="Q55" s="167">
        <f t="shared" si="33"/>
        <v>366959.69001184375</v>
      </c>
    </row>
    <row r="56" spans="1:17">
      <c r="A56" s="165" t="s">
        <v>17</v>
      </c>
      <c r="B56" s="165"/>
      <c r="C56" s="167">
        <f t="shared" ref="C56:I56" si="34">$C$55*$B$77</f>
        <v>115590.2616</v>
      </c>
      <c r="D56" s="167">
        <f t="shared" si="34"/>
        <v>115590.2616</v>
      </c>
      <c r="E56" s="167">
        <f t="shared" si="34"/>
        <v>115590.2616</v>
      </c>
      <c r="F56" s="167">
        <f t="shared" si="34"/>
        <v>115590.2616</v>
      </c>
      <c r="G56" s="167">
        <f t="shared" si="34"/>
        <v>115590.2616</v>
      </c>
      <c r="H56" s="167">
        <f t="shared" si="34"/>
        <v>115590.2616</v>
      </c>
      <c r="I56" s="167">
        <f t="shared" si="34"/>
        <v>115590.2616</v>
      </c>
      <c r="J56" s="99"/>
      <c r="K56" s="167">
        <f t="shared" ref="K56:Q56" si="35">K55*$C$77</f>
        <v>145947.29999999999</v>
      </c>
      <c r="L56" s="167">
        <f t="shared" si="35"/>
        <v>124055.20499999999</v>
      </c>
      <c r="M56" s="167">
        <f t="shared" si="35"/>
        <v>105446.92425</v>
      </c>
      <c r="N56" s="167">
        <f t="shared" si="35"/>
        <v>89629.885612499987</v>
      </c>
      <c r="O56" s="167">
        <f t="shared" si="35"/>
        <v>76185.402770624991</v>
      </c>
      <c r="P56" s="167">
        <f t="shared" si="35"/>
        <v>64757.592355031244</v>
      </c>
      <c r="Q56" s="167">
        <f t="shared" si="35"/>
        <v>55043.953501776559</v>
      </c>
    </row>
    <row r="57" spans="1:17">
      <c r="A57" s="165" t="s">
        <v>201</v>
      </c>
      <c r="B57" s="165"/>
      <c r="C57" s="167">
        <f>C56</f>
        <v>115590.2616</v>
      </c>
      <c r="D57" s="167">
        <f t="shared" ref="D57:I57" si="36">C57+D56</f>
        <v>231180.5232</v>
      </c>
      <c r="E57" s="167">
        <f t="shared" si="36"/>
        <v>346770.78480000002</v>
      </c>
      <c r="F57" s="167">
        <f t="shared" si="36"/>
        <v>462361.04639999999</v>
      </c>
      <c r="G57" s="167">
        <f t="shared" si="36"/>
        <v>577951.30799999996</v>
      </c>
      <c r="H57" s="167">
        <f t="shared" si="36"/>
        <v>693541.56959999993</v>
      </c>
      <c r="I57" s="167">
        <f t="shared" si="36"/>
        <v>809131.8311999999</v>
      </c>
      <c r="J57" s="99"/>
      <c r="K57" s="167">
        <f>K56</f>
        <v>145947.29999999999</v>
      </c>
      <c r="L57" s="167">
        <f t="shared" ref="L57:Q57" si="37">K57+L56</f>
        <v>270002.505</v>
      </c>
      <c r="M57" s="167">
        <f t="shared" si="37"/>
        <v>375449.42924999999</v>
      </c>
      <c r="N57" s="167">
        <f t="shared" si="37"/>
        <v>465079.31486249994</v>
      </c>
      <c r="O57" s="167">
        <f t="shared" si="37"/>
        <v>541264.71763312491</v>
      </c>
      <c r="P57" s="167">
        <f t="shared" si="37"/>
        <v>606022.30998815619</v>
      </c>
      <c r="Q57" s="167">
        <f t="shared" si="37"/>
        <v>661066.26348993275</v>
      </c>
    </row>
    <row r="58" spans="1:17">
      <c r="A58" s="165" t="s">
        <v>202</v>
      </c>
      <c r="B58" s="165"/>
      <c r="C58" s="167">
        <f t="shared" ref="C58:I58" si="38">C55-C56</f>
        <v>857391.73840000003</v>
      </c>
      <c r="D58" s="167">
        <f t="shared" si="38"/>
        <v>741801.47680000006</v>
      </c>
      <c r="E58" s="167">
        <f t="shared" si="38"/>
        <v>626211.21520000009</v>
      </c>
      <c r="F58" s="167">
        <f t="shared" si="38"/>
        <v>510620.95360000012</v>
      </c>
      <c r="G58" s="167">
        <f t="shared" si="38"/>
        <v>395030.69200000016</v>
      </c>
      <c r="H58" s="167">
        <f t="shared" si="38"/>
        <v>279440.43040000019</v>
      </c>
      <c r="I58" s="167">
        <f t="shared" si="38"/>
        <v>163850.16880000019</v>
      </c>
      <c r="J58" s="99"/>
      <c r="K58" s="167">
        <f t="shared" ref="K58:Q58" si="39">K55-K56</f>
        <v>827034.7</v>
      </c>
      <c r="L58" s="167">
        <f t="shared" si="39"/>
        <v>702979.495</v>
      </c>
      <c r="M58" s="167">
        <f t="shared" si="39"/>
        <v>597532.57074999996</v>
      </c>
      <c r="N58" s="167">
        <f t="shared" si="39"/>
        <v>507902.68513749994</v>
      </c>
      <c r="O58" s="167">
        <f t="shared" si="39"/>
        <v>431717.28236687498</v>
      </c>
      <c r="P58" s="167">
        <f t="shared" si="39"/>
        <v>366959.69001184375</v>
      </c>
      <c r="Q58" s="167">
        <f t="shared" si="39"/>
        <v>311915.73651006719</v>
      </c>
    </row>
    <row r="59" spans="1:17">
      <c r="A59" s="165"/>
      <c r="B59" s="165"/>
      <c r="C59" s="167"/>
      <c r="D59" s="167"/>
      <c r="E59" s="167"/>
      <c r="F59" s="167"/>
      <c r="G59" s="167"/>
      <c r="H59" s="167"/>
      <c r="I59" s="167"/>
      <c r="J59" s="99"/>
      <c r="K59" s="167"/>
      <c r="L59" s="167"/>
      <c r="M59" s="167"/>
      <c r="N59" s="167"/>
      <c r="O59" s="167"/>
      <c r="P59" s="167"/>
      <c r="Q59" s="167"/>
    </row>
    <row r="60" spans="1:17">
      <c r="A60" s="338" t="s">
        <v>337</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388000</v>
      </c>
      <c r="D61" s="167">
        <f t="shared" ref="D61:I61" si="40">C64</f>
        <v>349200</v>
      </c>
      <c r="E61" s="167">
        <f t="shared" si="40"/>
        <v>310400</v>
      </c>
      <c r="F61" s="167">
        <f t="shared" si="40"/>
        <v>271600</v>
      </c>
      <c r="G61" s="167">
        <f t="shared" si="40"/>
        <v>232800</v>
      </c>
      <c r="H61" s="167">
        <f t="shared" si="40"/>
        <v>194000</v>
      </c>
      <c r="I61" s="167">
        <f t="shared" si="40"/>
        <v>155200</v>
      </c>
      <c r="J61" s="99"/>
      <c r="K61" s="167">
        <f>C61</f>
        <v>388000</v>
      </c>
      <c r="L61" s="167">
        <f t="shared" ref="L61:Q61" si="41">K64</f>
        <v>232800</v>
      </c>
      <c r="M61" s="167">
        <f t="shared" si="41"/>
        <v>139680</v>
      </c>
      <c r="N61" s="167">
        <f t="shared" si="41"/>
        <v>83808</v>
      </c>
      <c r="O61" s="167">
        <f t="shared" si="41"/>
        <v>50284.799999999996</v>
      </c>
      <c r="P61" s="167">
        <f t="shared" si="41"/>
        <v>30170.879999999997</v>
      </c>
      <c r="Q61" s="167">
        <f t="shared" si="41"/>
        <v>18102.527999999998</v>
      </c>
    </row>
    <row r="62" spans="1:17">
      <c r="A62" s="165" t="str">
        <f>A56</f>
        <v>Depreciation</v>
      </c>
      <c r="B62" s="165"/>
      <c r="C62" s="167">
        <f t="shared" ref="C62:I62" si="42">$C$61*$B$76</f>
        <v>38800</v>
      </c>
      <c r="D62" s="167">
        <f t="shared" si="42"/>
        <v>38800</v>
      </c>
      <c r="E62" s="167">
        <f t="shared" si="42"/>
        <v>38800</v>
      </c>
      <c r="F62" s="167">
        <f t="shared" si="42"/>
        <v>38800</v>
      </c>
      <c r="G62" s="167">
        <f t="shared" si="42"/>
        <v>38800</v>
      </c>
      <c r="H62" s="167">
        <f t="shared" si="42"/>
        <v>38800</v>
      </c>
      <c r="I62" s="167">
        <f t="shared" si="42"/>
        <v>38800</v>
      </c>
      <c r="J62" s="99"/>
      <c r="K62" s="167">
        <f t="shared" ref="K62:Q62" si="43">K61*$C$76</f>
        <v>155200</v>
      </c>
      <c r="L62" s="167">
        <f t="shared" si="43"/>
        <v>93120</v>
      </c>
      <c r="M62" s="167">
        <f t="shared" si="43"/>
        <v>55872</v>
      </c>
      <c r="N62" s="167">
        <f t="shared" si="43"/>
        <v>33523.200000000004</v>
      </c>
      <c r="O62" s="167">
        <f t="shared" si="43"/>
        <v>20113.919999999998</v>
      </c>
      <c r="P62" s="167">
        <f t="shared" si="43"/>
        <v>12068.351999999999</v>
      </c>
      <c r="Q62" s="167">
        <f t="shared" si="43"/>
        <v>7241.0111999999999</v>
      </c>
    </row>
    <row r="63" spans="1:17">
      <c r="A63" s="165" t="str">
        <f>A57</f>
        <v>Accumulated Depreciation</v>
      </c>
      <c r="B63" s="165"/>
      <c r="C63" s="167">
        <f>C62</f>
        <v>38800</v>
      </c>
      <c r="D63" s="167">
        <f t="shared" ref="D63:I63" si="44">D62+C63</f>
        <v>77600</v>
      </c>
      <c r="E63" s="167">
        <f t="shared" si="44"/>
        <v>116400</v>
      </c>
      <c r="F63" s="167">
        <f t="shared" si="44"/>
        <v>155200</v>
      </c>
      <c r="G63" s="167">
        <f t="shared" si="44"/>
        <v>194000</v>
      </c>
      <c r="H63" s="167">
        <f t="shared" si="44"/>
        <v>232800</v>
      </c>
      <c r="I63" s="167">
        <f t="shared" si="44"/>
        <v>271600</v>
      </c>
      <c r="J63" s="99"/>
      <c r="K63" s="167">
        <f>K62</f>
        <v>155200</v>
      </c>
      <c r="L63" s="167">
        <f t="shared" ref="L63:Q63" si="45">L62+K63</f>
        <v>248320</v>
      </c>
      <c r="M63" s="167">
        <f t="shared" si="45"/>
        <v>304192</v>
      </c>
      <c r="N63" s="167">
        <f t="shared" si="45"/>
        <v>337715.20000000001</v>
      </c>
      <c r="O63" s="167">
        <f t="shared" si="45"/>
        <v>357829.12</v>
      </c>
      <c r="P63" s="167">
        <f t="shared" si="45"/>
        <v>369897.47200000001</v>
      </c>
      <c r="Q63" s="167">
        <f t="shared" si="45"/>
        <v>377138.48320000002</v>
      </c>
    </row>
    <row r="64" spans="1:17">
      <c r="A64" s="165" t="str">
        <f>A58</f>
        <v>Net Fixed Assets</v>
      </c>
      <c r="B64" s="165"/>
      <c r="C64" s="167">
        <f t="shared" ref="C64:I64" si="46">C61-C62</f>
        <v>349200</v>
      </c>
      <c r="D64" s="167">
        <f t="shared" si="46"/>
        <v>310400</v>
      </c>
      <c r="E64" s="167">
        <f t="shared" si="46"/>
        <v>271600</v>
      </c>
      <c r="F64" s="167">
        <f t="shared" si="46"/>
        <v>232800</v>
      </c>
      <c r="G64" s="167">
        <f t="shared" si="46"/>
        <v>194000</v>
      </c>
      <c r="H64" s="167">
        <f t="shared" si="46"/>
        <v>155200</v>
      </c>
      <c r="I64" s="167">
        <f t="shared" si="46"/>
        <v>116400</v>
      </c>
      <c r="J64" s="99"/>
      <c r="K64" s="167">
        <f t="shared" ref="K64:Q64" si="47">K61-K62</f>
        <v>232800</v>
      </c>
      <c r="L64" s="167">
        <f t="shared" si="47"/>
        <v>139680</v>
      </c>
      <c r="M64" s="167">
        <f t="shared" si="47"/>
        <v>83808</v>
      </c>
      <c r="N64" s="167">
        <f t="shared" si="47"/>
        <v>50284.799999999996</v>
      </c>
      <c r="O64" s="167">
        <f t="shared" si="47"/>
        <v>30170.879999999997</v>
      </c>
      <c r="P64" s="167">
        <f t="shared" si="47"/>
        <v>18102.527999999998</v>
      </c>
      <c r="Q64" s="167">
        <f t="shared" si="47"/>
        <v>10861.516799999998</v>
      </c>
    </row>
    <row r="65" spans="1:17">
      <c r="A65" s="166" t="s">
        <v>206</v>
      </c>
      <c r="B65" s="166"/>
      <c r="C65" s="168">
        <f t="shared" ref="C65:I68" si="48">C49+C43+C37+C55+C61</f>
        <v>28627928.289999999</v>
      </c>
      <c r="D65" s="168">
        <f t="shared" si="48"/>
        <v>27489866.271007001</v>
      </c>
      <c r="E65" s="168">
        <f t="shared" si="48"/>
        <v>26351804.252014</v>
      </c>
      <c r="F65" s="168">
        <f t="shared" si="48"/>
        <v>25213742.233020999</v>
      </c>
      <c r="G65" s="168">
        <f t="shared" si="48"/>
        <v>24075680.214028001</v>
      </c>
      <c r="H65" s="168">
        <f t="shared" si="48"/>
        <v>22937618.195035003</v>
      </c>
      <c r="I65" s="168">
        <f t="shared" si="48"/>
        <v>21799556.176041998</v>
      </c>
      <c r="J65" s="99"/>
      <c r="K65" s="168">
        <f t="shared" ref="K65:Q68" si="49">K49+K43+K37+K55+K61</f>
        <v>28627928.289999999</v>
      </c>
      <c r="L65" s="168">
        <f t="shared" si="49"/>
        <v>25431406.360999998</v>
      </c>
      <c r="M65" s="168">
        <f t="shared" si="49"/>
        <v>22633695.9899</v>
      </c>
      <c r="N65" s="168">
        <f t="shared" si="49"/>
        <v>20171402.116159998</v>
      </c>
      <c r="O65" s="168">
        <f t="shared" si="49"/>
        <v>17995652.271006498</v>
      </c>
      <c r="P65" s="168">
        <f t="shared" si="49"/>
        <v>16067554.455398975</v>
      </c>
      <c r="Q65" s="168">
        <f t="shared" si="49"/>
        <v>14355317.669628233</v>
      </c>
    </row>
    <row r="66" spans="1:17">
      <c r="A66" s="166" t="s">
        <v>207</v>
      </c>
      <c r="B66" s="166"/>
      <c r="C66" s="168">
        <f t="shared" si="48"/>
        <v>1138062.018993</v>
      </c>
      <c r="D66" s="168">
        <f t="shared" si="48"/>
        <v>1138062.018993</v>
      </c>
      <c r="E66" s="168">
        <f t="shared" si="48"/>
        <v>1138062.018993</v>
      </c>
      <c r="F66" s="168">
        <f t="shared" si="48"/>
        <v>1138062.018993</v>
      </c>
      <c r="G66" s="168">
        <f t="shared" si="48"/>
        <v>1138062.018993</v>
      </c>
      <c r="H66" s="168">
        <f t="shared" si="48"/>
        <v>1138062.018993</v>
      </c>
      <c r="I66" s="168">
        <f t="shared" si="48"/>
        <v>1138062.018993</v>
      </c>
      <c r="J66" s="99"/>
      <c r="K66" s="168">
        <f t="shared" si="49"/>
        <v>3196521.929</v>
      </c>
      <c r="L66" s="168">
        <f t="shared" si="49"/>
        <v>2797710.3711000001</v>
      </c>
      <c r="M66" s="168">
        <f t="shared" si="49"/>
        <v>2462293.8737400002</v>
      </c>
      <c r="N66" s="168">
        <f t="shared" si="49"/>
        <v>2175749.8451535003</v>
      </c>
      <c r="O66" s="168">
        <f t="shared" si="49"/>
        <v>1928097.8156075249</v>
      </c>
      <c r="P66" s="168">
        <f t="shared" si="49"/>
        <v>1712236.7857707411</v>
      </c>
      <c r="Q66" s="168">
        <f t="shared" si="49"/>
        <v>1522928.0901590406</v>
      </c>
    </row>
    <row r="67" spans="1:17">
      <c r="A67" s="166" t="s">
        <v>208</v>
      </c>
      <c r="B67" s="166"/>
      <c r="C67" s="168">
        <f t="shared" si="48"/>
        <v>1138062.018993</v>
      </c>
      <c r="D67" s="168">
        <f t="shared" si="48"/>
        <v>2276124.0379860001</v>
      </c>
      <c r="E67" s="168">
        <f t="shared" si="48"/>
        <v>3414186.0569790001</v>
      </c>
      <c r="F67" s="168">
        <f t="shared" si="48"/>
        <v>4552248.0759720001</v>
      </c>
      <c r="G67" s="168">
        <f t="shared" si="48"/>
        <v>5690310.0949649997</v>
      </c>
      <c r="H67" s="168">
        <f t="shared" si="48"/>
        <v>6828372.1139580002</v>
      </c>
      <c r="I67" s="168">
        <f t="shared" si="48"/>
        <v>7966434.1329509988</v>
      </c>
      <c r="J67" s="99"/>
      <c r="K67" s="168">
        <f t="shared" si="49"/>
        <v>3196521.929</v>
      </c>
      <c r="L67" s="168">
        <f t="shared" si="49"/>
        <v>5994232.3000999996</v>
      </c>
      <c r="M67" s="168">
        <f t="shared" si="49"/>
        <v>8456526.1738399994</v>
      </c>
      <c r="N67" s="168">
        <f t="shared" si="49"/>
        <v>10632276.018993501</v>
      </c>
      <c r="O67" s="168">
        <f t="shared" si="49"/>
        <v>12560373.834601024</v>
      </c>
      <c r="P67" s="168">
        <f t="shared" si="49"/>
        <v>14272610.620371766</v>
      </c>
      <c r="Q67" s="168">
        <f t="shared" si="49"/>
        <v>15795538.710530808</v>
      </c>
    </row>
    <row r="68" spans="1:17">
      <c r="A68" s="166" t="s">
        <v>202</v>
      </c>
      <c r="B68" s="166"/>
      <c r="C68" s="168">
        <f t="shared" si="48"/>
        <v>27489866.271007001</v>
      </c>
      <c r="D68" s="168">
        <f t="shared" si="48"/>
        <v>26351804.252014</v>
      </c>
      <c r="E68" s="168">
        <f t="shared" si="48"/>
        <v>25213742.233020999</v>
      </c>
      <c r="F68" s="168">
        <f t="shared" si="48"/>
        <v>24075680.214028001</v>
      </c>
      <c r="G68" s="168">
        <f t="shared" si="48"/>
        <v>22937618.195035003</v>
      </c>
      <c r="H68" s="168">
        <f t="shared" si="48"/>
        <v>21799556.176041998</v>
      </c>
      <c r="I68" s="168">
        <f t="shared" si="48"/>
        <v>20661494.157049</v>
      </c>
      <c r="J68" s="99"/>
      <c r="K68" s="168">
        <f t="shared" si="49"/>
        <v>25431406.360999998</v>
      </c>
      <c r="L68" s="168">
        <f t="shared" si="49"/>
        <v>22633695.9899</v>
      </c>
      <c r="M68" s="168">
        <f t="shared" si="49"/>
        <v>20171402.116159998</v>
      </c>
      <c r="N68" s="168">
        <f t="shared" si="49"/>
        <v>17995652.271006498</v>
      </c>
      <c r="O68" s="168">
        <f t="shared" si="49"/>
        <v>16067554.455398975</v>
      </c>
      <c r="P68" s="168">
        <f t="shared" si="49"/>
        <v>14355317.669628233</v>
      </c>
      <c r="Q68" s="168">
        <f t="shared" si="49"/>
        <v>12832389.579469189</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8.5">
      <c r="A71" s="173" t="s">
        <v>209</v>
      </c>
      <c r="B71" s="174" t="s">
        <v>210</v>
      </c>
      <c r="C71" s="175" t="s">
        <v>211</v>
      </c>
      <c r="D71" s="94"/>
      <c r="E71" s="94"/>
      <c r="F71" s="94"/>
      <c r="G71" s="94"/>
      <c r="H71" s="94"/>
      <c r="I71" s="94"/>
      <c r="J71" s="94"/>
    </row>
    <row r="72" spans="1:17" ht="28.5">
      <c r="A72" s="176" t="s">
        <v>212</v>
      </c>
      <c r="B72" s="174" t="s">
        <v>213</v>
      </c>
      <c r="C72" s="175" t="s">
        <v>214</v>
      </c>
      <c r="D72" s="94"/>
      <c r="E72" s="94"/>
      <c r="F72" s="94"/>
      <c r="G72" s="94"/>
      <c r="H72" s="94"/>
      <c r="I72" s="94"/>
      <c r="J72" s="94"/>
    </row>
    <row r="73" spans="1:17">
      <c r="A73" s="176" t="s">
        <v>149</v>
      </c>
      <c r="B73" s="177">
        <v>0</v>
      </c>
      <c r="C73" s="177">
        <v>0</v>
      </c>
      <c r="D73" s="94"/>
      <c r="E73" s="94"/>
      <c r="F73" s="94"/>
      <c r="G73" s="94"/>
      <c r="H73" s="94"/>
      <c r="I73" s="94"/>
      <c r="J73" s="94"/>
    </row>
    <row r="74" spans="1:17">
      <c r="A74" s="178" t="s">
        <v>203</v>
      </c>
      <c r="B74" s="177">
        <v>3.1699999999999999E-2</v>
      </c>
      <c r="C74" s="177">
        <v>0.1</v>
      </c>
      <c r="D74" s="179"/>
      <c r="E74" s="94"/>
      <c r="F74" s="94"/>
      <c r="G74" s="94"/>
      <c r="H74" s="94"/>
      <c r="I74" s="94"/>
      <c r="J74" s="94"/>
    </row>
    <row r="75" spans="1:17">
      <c r="A75" s="178" t="s">
        <v>205</v>
      </c>
      <c r="B75" s="180">
        <v>0.1</v>
      </c>
      <c r="C75" s="177">
        <v>0.1</v>
      </c>
      <c r="D75" s="94"/>
      <c r="E75" s="94"/>
      <c r="F75" s="94"/>
      <c r="G75" s="94"/>
      <c r="H75" s="94"/>
      <c r="I75" s="94"/>
      <c r="J75" s="94"/>
    </row>
    <row r="76" spans="1:17">
      <c r="A76" s="94" t="s">
        <v>215</v>
      </c>
      <c r="B76" s="180">
        <v>0.1</v>
      </c>
      <c r="C76" s="180">
        <v>0.4</v>
      </c>
      <c r="D76" s="94"/>
      <c r="E76" s="94"/>
      <c r="F76" s="94"/>
      <c r="G76" s="94"/>
      <c r="H76" s="94"/>
      <c r="I76" s="94"/>
      <c r="J76" s="94"/>
    </row>
    <row r="77" spans="1:17">
      <c r="A77" s="94" t="s">
        <v>280</v>
      </c>
      <c r="B77" s="180">
        <v>0.1188</v>
      </c>
      <c r="C77" s="180">
        <v>0.15</v>
      </c>
      <c r="D77" s="94"/>
      <c r="E77" s="94"/>
      <c r="F77" s="94"/>
      <c r="G77" s="94"/>
      <c r="H77" s="94"/>
      <c r="I77" s="94"/>
      <c r="J77" s="94"/>
    </row>
    <row r="78" spans="1:17">
      <c r="A78" s="178" t="s">
        <v>216</v>
      </c>
      <c r="B78" s="180">
        <v>6.3299999999999995E-2</v>
      </c>
      <c r="C78" s="180">
        <v>0.15</v>
      </c>
      <c r="D78" s="94"/>
      <c r="E78" s="94"/>
      <c r="F78" s="94"/>
      <c r="G78" s="94"/>
      <c r="H78" s="94"/>
      <c r="I78" s="94"/>
      <c r="J78" s="94"/>
    </row>
    <row r="79" spans="1:17" ht="28.5">
      <c r="A79" s="176" t="s">
        <v>209</v>
      </c>
      <c r="B79" s="177"/>
      <c r="C79" s="181"/>
      <c r="D79" s="94"/>
      <c r="E79" s="94"/>
      <c r="F79" s="94"/>
      <c r="G79" s="94"/>
      <c r="H79" s="94"/>
      <c r="I79" s="94"/>
      <c r="J79" s="94"/>
    </row>
    <row r="80" spans="1:17">
      <c r="A80" s="178" t="s">
        <v>217</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7.5">
      <c r="A83" s="419" t="s">
        <v>573</v>
      </c>
      <c r="B83" s="419"/>
      <c r="C83" s="419"/>
      <c r="D83" s="419"/>
      <c r="E83" s="419"/>
      <c r="F83" s="419"/>
      <c r="G83" s="419"/>
      <c r="H83" s="419"/>
      <c r="I83" s="419"/>
      <c r="J83" s="419"/>
    </row>
    <row r="84" spans="1:12" s="65" customFormat="1">
      <c r="A84" s="35"/>
      <c r="B84" s="35"/>
    </row>
    <row r="85" spans="1:12" s="65" customFormat="1">
      <c r="A85" s="153" t="s">
        <v>0</v>
      </c>
      <c r="B85" s="154" t="s">
        <v>347</v>
      </c>
      <c r="C85" s="155" t="s">
        <v>2</v>
      </c>
      <c r="D85" s="155" t="s">
        <v>3</v>
      </c>
      <c r="E85" s="155" t="s">
        <v>4</v>
      </c>
      <c r="F85" s="155" t="s">
        <v>5</v>
      </c>
      <c r="G85" s="155" t="s">
        <v>6</v>
      </c>
      <c r="H85" s="155" t="s">
        <v>171</v>
      </c>
      <c r="I85" s="155" t="s">
        <v>170</v>
      </c>
      <c r="J85" s="38"/>
      <c r="K85" s="38"/>
      <c r="L85" s="38"/>
    </row>
    <row r="86" spans="1:12" s="65" customFormat="1">
      <c r="A86" s="156" t="s">
        <v>258</v>
      </c>
      <c r="B86" s="157">
        <v>5</v>
      </c>
      <c r="C86" s="158">
        <f>'1.Project Cost and MOF'!$D$10/5</f>
        <v>175000</v>
      </c>
      <c r="D86" s="158">
        <f>'1.Project Cost and MOF'!$D$10/5</f>
        <v>175000</v>
      </c>
      <c r="E86" s="158">
        <f>'1.Project Cost and MOF'!$D$10/5</f>
        <v>175000</v>
      </c>
      <c r="F86" s="158">
        <f>'1.Project Cost and MOF'!$D$10/5</f>
        <v>175000</v>
      </c>
      <c r="G86" s="158">
        <f>'1.Project Cost and MOF'!$D$10/5</f>
        <v>175000</v>
      </c>
      <c r="H86" s="158">
        <v>0</v>
      </c>
      <c r="I86" s="158">
        <v>0</v>
      </c>
      <c r="J86" s="38"/>
      <c r="K86" s="38"/>
      <c r="L86" s="38"/>
    </row>
    <row r="87" spans="1:12" s="65" customFormat="1">
      <c r="A87" s="159" t="s">
        <v>348</v>
      </c>
      <c r="B87" s="160"/>
      <c r="C87" s="161">
        <f t="shared" ref="C87:I87" si="50">SUM(C85:C86)</f>
        <v>175000</v>
      </c>
      <c r="D87" s="161">
        <f t="shared" si="50"/>
        <v>175000</v>
      </c>
      <c r="E87" s="161">
        <f t="shared" si="50"/>
        <v>175000</v>
      </c>
      <c r="F87" s="161">
        <f t="shared" si="50"/>
        <v>175000</v>
      </c>
      <c r="G87" s="161">
        <f t="shared" si="50"/>
        <v>175000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7.5">
      <c r="A92" s="430" t="s">
        <v>574</v>
      </c>
      <c r="B92" s="430"/>
      <c r="C92" s="430"/>
      <c r="D92" s="430"/>
      <c r="E92" s="430"/>
      <c r="F92" s="430"/>
      <c r="G92" s="430"/>
      <c r="H92" s="430"/>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230</v>
      </c>
      <c r="B95" s="151">
        <f>'6.Cons Profit &amp; Loss'!B49</f>
        <v>3204983.9859452294</v>
      </c>
      <c r="C95" s="151">
        <f>'6.Cons Profit &amp; Loss'!C49</f>
        <v>5172813.2499143258</v>
      </c>
      <c r="D95" s="151">
        <f>'6.Cons Profit &amp; Loss'!D49</f>
        <v>5786137.6490057055</v>
      </c>
      <c r="E95" s="151">
        <f>'6.Cons Profit &amp; Loss'!E49</f>
        <v>6444579.7998338919</v>
      </c>
      <c r="F95" s="151">
        <f>'6.Cons Profit &amp; Loss'!F49</f>
        <v>7151118.1665750882</v>
      </c>
      <c r="G95" s="151">
        <f>'6.Cons Profit &amp; Loss'!G49</f>
        <v>8083916.2654430792</v>
      </c>
      <c r="H95" s="151">
        <f>'6.Cons Profit &amp; Loss'!H49</f>
        <v>8896333.7237343974</v>
      </c>
      <c r="I95" s="37"/>
      <c r="J95" s="37"/>
      <c r="K95" s="37"/>
    </row>
    <row r="96" spans="1:12">
      <c r="A96" s="88" t="s">
        <v>231</v>
      </c>
      <c r="B96" s="151">
        <f>'6.Cons Profit &amp; Loss'!B42</f>
        <v>1138062.018993</v>
      </c>
      <c r="C96" s="151">
        <f>'6.Cons Profit &amp; Loss'!C42</f>
        <v>1138062.018993</v>
      </c>
      <c r="D96" s="151">
        <f>'6.Cons Profit &amp; Loss'!D42</f>
        <v>1138062.018993</v>
      </c>
      <c r="E96" s="151">
        <f>'6.Cons Profit &amp; Loss'!E42</f>
        <v>1138062.018993</v>
      </c>
      <c r="F96" s="151">
        <f>'6.Cons Profit &amp; Loss'!F42</f>
        <v>1138062.018993</v>
      </c>
      <c r="G96" s="151">
        <f>'6.Cons Profit &amp; Loss'!G42</f>
        <v>1138062.018993</v>
      </c>
      <c r="H96" s="151">
        <f>'6.Cons Profit &amp; Loss'!H42</f>
        <v>1138062.018993</v>
      </c>
      <c r="I96" s="37"/>
      <c r="J96" s="37"/>
      <c r="K96" s="37"/>
    </row>
    <row r="97" spans="1:11">
      <c r="A97" s="88" t="s">
        <v>232</v>
      </c>
      <c r="B97" s="151">
        <f>'3.Other Exp &amp; Taxes'!K66</f>
        <v>3196521.929</v>
      </c>
      <c r="C97" s="151">
        <f>'3.Other Exp &amp; Taxes'!L66</f>
        <v>2797710.3711000001</v>
      </c>
      <c r="D97" s="151">
        <f>'3.Other Exp &amp; Taxes'!M66</f>
        <v>2462293.8737400002</v>
      </c>
      <c r="E97" s="151">
        <f>'3.Other Exp &amp; Taxes'!N66</f>
        <v>2175749.8451535003</v>
      </c>
      <c r="F97" s="151">
        <f>'3.Other Exp &amp; Taxes'!O66</f>
        <v>1928097.8156075249</v>
      </c>
      <c r="G97" s="151">
        <f>'3.Other Exp &amp; Taxes'!P66</f>
        <v>1712236.7857707411</v>
      </c>
      <c r="H97" s="151">
        <f>'3.Other Exp &amp; Taxes'!Q66</f>
        <v>1522928.0901590406</v>
      </c>
      <c r="I97" s="37"/>
      <c r="J97" s="37"/>
      <c r="K97" s="37"/>
    </row>
    <row r="98" spans="1:11">
      <c r="A98" s="88" t="s">
        <v>293</v>
      </c>
      <c r="B98" s="151">
        <f t="shared" ref="B98:H98" si="51">B95+B96-B97</f>
        <v>1146524.0759382299</v>
      </c>
      <c r="C98" s="151">
        <f t="shared" si="51"/>
        <v>3513164.8978073252</v>
      </c>
      <c r="D98" s="151">
        <f t="shared" si="51"/>
        <v>4461905.7942587044</v>
      </c>
      <c r="E98" s="151">
        <f t="shared" si="51"/>
        <v>5406891.9736733912</v>
      </c>
      <c r="F98" s="151">
        <f t="shared" si="51"/>
        <v>6361082.3699605633</v>
      </c>
      <c r="G98" s="151">
        <f t="shared" si="51"/>
        <v>7509741.4986653375</v>
      </c>
      <c r="H98" s="151">
        <f t="shared" si="51"/>
        <v>8511467.6525683571</v>
      </c>
      <c r="I98" s="37"/>
      <c r="J98" s="37"/>
      <c r="K98" s="37"/>
    </row>
    <row r="99" spans="1:11">
      <c r="A99" s="90" t="s">
        <v>233</v>
      </c>
      <c r="B99" s="152">
        <f t="shared" ref="B99:H99" si="52">B98*$B$102</f>
        <v>298096.25974393979</v>
      </c>
      <c r="C99" s="152">
        <f t="shared" si="52"/>
        <v>913422.87342990458</v>
      </c>
      <c r="D99" s="152">
        <f t="shared" si="52"/>
        <v>1160095.5065072633</v>
      </c>
      <c r="E99" s="152">
        <f t="shared" si="52"/>
        <v>1405791.9131550817</v>
      </c>
      <c r="F99" s="152">
        <f t="shared" si="52"/>
        <v>1653881.4161897465</v>
      </c>
      <c r="G99" s="152">
        <f t="shared" si="52"/>
        <v>1952532.7896529878</v>
      </c>
      <c r="H99" s="152">
        <f t="shared" si="52"/>
        <v>2212981.5896677729</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404</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5" customHeight="1">
      <c r="A104" s="431" t="s">
        <v>434</v>
      </c>
      <c r="B104" s="431"/>
      <c r="C104" s="431"/>
      <c r="D104" s="431"/>
      <c r="E104" s="431"/>
      <c r="F104" s="431"/>
      <c r="G104" s="431"/>
      <c r="H104" s="431"/>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6"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55" zoomScale="80" zoomScaleSheetLayoutView="80" workbookViewId="0">
      <selection activeCell="B65" sqref="B65:H65"/>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9" t="s">
        <v>619</v>
      </c>
      <c r="B1" s="419"/>
      <c r="C1" s="419"/>
      <c r="D1" s="419"/>
      <c r="E1" s="419"/>
      <c r="F1" s="419"/>
      <c r="G1" s="419"/>
      <c r="H1" s="419"/>
    </row>
    <row r="2" spans="1:26">
      <c r="B2" s="4"/>
    </row>
    <row r="3" spans="1:26" ht="17.5">
      <c r="A3" s="467" t="s">
        <v>588</v>
      </c>
      <c r="B3" s="467"/>
    </row>
    <row r="4" spans="1:26">
      <c r="A4" s="293" t="s">
        <v>0</v>
      </c>
      <c r="B4" s="311" t="s">
        <v>401</v>
      </c>
      <c r="C4" s="312"/>
      <c r="D4" s="312"/>
      <c r="E4" s="312"/>
      <c r="F4" s="312"/>
      <c r="G4" s="312"/>
      <c r="H4" s="312"/>
    </row>
    <row r="5" spans="1:26">
      <c r="A5" s="10" t="s">
        <v>512</v>
      </c>
      <c r="B5" s="289">
        <v>500</v>
      </c>
      <c r="C5" s="313"/>
      <c r="D5" s="314"/>
      <c r="E5" s="314"/>
      <c r="F5" s="314"/>
      <c r="G5" s="314"/>
      <c r="H5" s="314"/>
    </row>
    <row r="6" spans="1:26">
      <c r="A6" s="10" t="s">
        <v>513</v>
      </c>
      <c r="B6" s="289">
        <v>1500</v>
      </c>
      <c r="C6" s="313"/>
      <c r="D6" s="314"/>
      <c r="E6" s="314"/>
      <c r="F6" s="314"/>
      <c r="G6" s="314"/>
      <c r="H6" s="314"/>
    </row>
    <row r="7" spans="1:26">
      <c r="A7" s="2" t="s">
        <v>1</v>
      </c>
      <c r="B7" s="337">
        <f>B5+B6</f>
        <v>2000</v>
      </c>
      <c r="C7" s="315"/>
      <c r="D7" s="316"/>
      <c r="E7" s="316"/>
      <c r="F7" s="316"/>
      <c r="G7" s="316"/>
      <c r="H7" s="316"/>
    </row>
    <row r="8" spans="1:26">
      <c r="A8" s="2" t="s">
        <v>514</v>
      </c>
      <c r="B8" s="336">
        <v>2</v>
      </c>
      <c r="C8" s="315"/>
      <c r="D8" s="315"/>
      <c r="E8" s="315"/>
      <c r="F8" s="315"/>
      <c r="G8" s="315"/>
      <c r="H8" s="315"/>
    </row>
    <row r="9" spans="1:26">
      <c r="A9" s="2" t="s">
        <v>519</v>
      </c>
      <c r="B9" s="337">
        <f>B7*B8</f>
        <v>4000</v>
      </c>
      <c r="C9" s="316"/>
      <c r="D9" s="316"/>
      <c r="E9" s="316"/>
      <c r="F9" s="316"/>
      <c r="G9" s="316"/>
      <c r="H9" s="316"/>
    </row>
    <row r="10" spans="1:26">
      <c r="J10" t="s">
        <v>467</v>
      </c>
      <c r="O10" t="s">
        <v>463</v>
      </c>
      <c r="U10" t="s">
        <v>464</v>
      </c>
      <c r="Y10" t="s">
        <v>465</v>
      </c>
      <c r="Z10" t="s">
        <v>466</v>
      </c>
    </row>
    <row r="11" spans="1:26" ht="17.5">
      <c r="A11" s="419" t="s">
        <v>589</v>
      </c>
      <c r="B11" s="419"/>
      <c r="C11" s="419"/>
      <c r="D11" s="419"/>
      <c r="E11" s="419"/>
      <c r="F11" s="419"/>
      <c r="G11" s="419"/>
      <c r="H11" s="419"/>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93" t="s">
        <v>405</v>
      </c>
      <c r="B13" s="293" t="s">
        <v>406</v>
      </c>
      <c r="C13" s="294" t="s">
        <v>460</v>
      </c>
      <c r="D13" s="294" t="s">
        <v>468</v>
      </c>
      <c r="E13" s="294" t="s">
        <v>469</v>
      </c>
      <c r="F13" s="294" t="s">
        <v>407</v>
      </c>
      <c r="G13" s="294" t="s">
        <v>663</v>
      </c>
      <c r="H13" s="294" t="s">
        <v>408</v>
      </c>
      <c r="O13" s="306" t="s">
        <v>2</v>
      </c>
      <c r="P13" s="306" t="s">
        <v>3</v>
      </c>
      <c r="Q13" s="306" t="s">
        <v>4</v>
      </c>
      <c r="R13" s="306" t="s">
        <v>5</v>
      </c>
      <c r="S13" s="306" t="s">
        <v>6</v>
      </c>
      <c r="T13" s="306" t="s">
        <v>2</v>
      </c>
      <c r="U13" s="306" t="s">
        <v>3</v>
      </c>
      <c r="V13" s="306" t="s">
        <v>4</v>
      </c>
      <c r="W13" s="306" t="s">
        <v>5</v>
      </c>
      <c r="X13" s="306" t="s">
        <v>6</v>
      </c>
    </row>
    <row r="14" spans="1:26">
      <c r="A14" s="471" t="s">
        <v>409</v>
      </c>
      <c r="B14" s="289" t="s">
        <v>169</v>
      </c>
      <c r="C14" s="304">
        <v>0</v>
      </c>
      <c r="D14" s="10">
        <f t="shared" ref="D14:D22" si="3">$B$9*C14</f>
        <v>0</v>
      </c>
      <c r="E14" s="290">
        <v>15</v>
      </c>
      <c r="F14" s="10">
        <f>D14*E14</f>
        <v>0</v>
      </c>
      <c r="G14" s="305">
        <v>0.1</v>
      </c>
      <c r="H14" s="10">
        <f>(F14-F14*G14)</f>
        <v>0</v>
      </c>
      <c r="J14">
        <f>$D$14*J12</f>
        <v>0</v>
      </c>
      <c r="K14">
        <f>$D$14*K12</f>
        <v>0</v>
      </c>
      <c r="L14">
        <f>$D$14*L12</f>
        <v>0</v>
      </c>
      <c r="M14">
        <f>$D$14*M12</f>
        <v>0</v>
      </c>
      <c r="N14">
        <f>$D$14*N12</f>
        <v>0</v>
      </c>
    </row>
    <row r="15" spans="1:26">
      <c r="A15" s="472"/>
      <c r="B15" s="289" t="s">
        <v>492</v>
      </c>
      <c r="C15" s="304">
        <v>0</v>
      </c>
      <c r="D15" s="10">
        <f t="shared" si="3"/>
        <v>0</v>
      </c>
      <c r="E15" s="290">
        <v>7</v>
      </c>
      <c r="F15" s="10">
        <f t="shared" ref="F15:F36" si="4">D15*E15</f>
        <v>0</v>
      </c>
      <c r="G15" s="305">
        <v>0.05</v>
      </c>
      <c r="H15" s="10">
        <f>(F15-F15*G15)</f>
        <v>0</v>
      </c>
    </row>
    <row r="16" spans="1:26">
      <c r="A16" s="472"/>
      <c r="B16" s="289" t="s">
        <v>491</v>
      </c>
      <c r="C16" s="304">
        <v>1</v>
      </c>
      <c r="D16" s="10">
        <f t="shared" si="3"/>
        <v>4000</v>
      </c>
      <c r="E16" s="290">
        <v>12</v>
      </c>
      <c r="F16" s="10">
        <f t="shared" si="4"/>
        <v>48000</v>
      </c>
      <c r="G16" s="305">
        <v>0</v>
      </c>
      <c r="H16" s="10">
        <f t="shared" ref="H16:H36" si="5">(F16-F16*G16)</f>
        <v>48000</v>
      </c>
    </row>
    <row r="17" spans="1:8">
      <c r="A17" s="472"/>
      <c r="B17" s="289" t="s">
        <v>489</v>
      </c>
      <c r="C17" s="304">
        <v>0</v>
      </c>
      <c r="D17" s="10">
        <f t="shared" si="3"/>
        <v>0</v>
      </c>
      <c r="E17" s="290">
        <v>7</v>
      </c>
      <c r="F17" s="10">
        <f t="shared" si="4"/>
        <v>0</v>
      </c>
      <c r="G17" s="305">
        <v>0.02</v>
      </c>
      <c r="H17" s="10">
        <f t="shared" si="5"/>
        <v>0</v>
      </c>
    </row>
    <row r="18" spans="1:8">
      <c r="A18" s="472"/>
      <c r="B18" s="289" t="s">
        <v>410</v>
      </c>
      <c r="C18" s="304">
        <v>0</v>
      </c>
      <c r="D18" s="10">
        <f t="shared" si="3"/>
        <v>0</v>
      </c>
      <c r="E18" s="290">
        <v>20</v>
      </c>
      <c r="F18" s="10">
        <f t="shared" si="4"/>
        <v>0</v>
      </c>
      <c r="G18" s="305">
        <v>0</v>
      </c>
      <c r="H18" s="10">
        <f t="shared" si="5"/>
        <v>0</v>
      </c>
    </row>
    <row r="19" spans="1:8">
      <c r="A19" s="472"/>
      <c r="B19" s="289" t="s">
        <v>490</v>
      </c>
      <c r="C19" s="304">
        <v>0</v>
      </c>
      <c r="D19" s="10">
        <f t="shared" si="3"/>
        <v>0</v>
      </c>
      <c r="E19" s="290">
        <v>7</v>
      </c>
      <c r="F19" s="10">
        <f t="shared" si="4"/>
        <v>0</v>
      </c>
      <c r="G19" s="305">
        <v>0.1</v>
      </c>
      <c r="H19" s="10">
        <f t="shared" si="5"/>
        <v>0</v>
      </c>
    </row>
    <row r="20" spans="1:8">
      <c r="A20" s="472"/>
      <c r="B20" s="289" t="s">
        <v>483</v>
      </c>
      <c r="C20" s="304">
        <v>0</v>
      </c>
      <c r="D20" s="10">
        <f t="shared" si="3"/>
        <v>0</v>
      </c>
      <c r="E20" s="290">
        <v>6</v>
      </c>
      <c r="F20" s="10">
        <f t="shared" si="4"/>
        <v>0</v>
      </c>
      <c r="G20" s="305">
        <v>0.02</v>
      </c>
      <c r="H20" s="10">
        <f t="shared" si="5"/>
        <v>0</v>
      </c>
    </row>
    <row r="21" spans="1:8">
      <c r="A21" s="472"/>
      <c r="B21" s="289" t="s">
        <v>413</v>
      </c>
      <c r="C21" s="304">
        <v>0</v>
      </c>
      <c r="D21" s="10">
        <f t="shared" si="3"/>
        <v>0</v>
      </c>
      <c r="E21" s="290"/>
      <c r="F21" s="10">
        <f t="shared" si="4"/>
        <v>0</v>
      </c>
      <c r="G21" s="305">
        <v>0</v>
      </c>
      <c r="H21" s="10">
        <f t="shared" si="5"/>
        <v>0</v>
      </c>
    </row>
    <row r="22" spans="1:8">
      <c r="A22" s="473"/>
      <c r="B22" s="289" t="s">
        <v>493</v>
      </c>
      <c r="C22" s="304">
        <v>0</v>
      </c>
      <c r="D22" s="10">
        <f t="shared" si="3"/>
        <v>0</v>
      </c>
      <c r="E22" s="290"/>
      <c r="F22" s="10">
        <f t="shared" si="4"/>
        <v>0</v>
      </c>
      <c r="G22" s="305">
        <v>0</v>
      </c>
      <c r="H22" s="10">
        <f t="shared" si="5"/>
        <v>0</v>
      </c>
    </row>
    <row r="23" spans="1:8">
      <c r="A23" s="319" t="s">
        <v>497</v>
      </c>
      <c r="B23" s="329">
        <v>0.3</v>
      </c>
      <c r="C23" s="331">
        <f>B9*B23</f>
        <v>1200</v>
      </c>
      <c r="D23" s="10"/>
      <c r="E23" s="290"/>
      <c r="F23" s="10"/>
      <c r="G23" s="305"/>
      <c r="H23" s="10"/>
    </row>
    <row r="24" spans="1:8">
      <c r="A24" s="471" t="s">
        <v>411</v>
      </c>
      <c r="B24" s="289" t="s">
        <v>412</v>
      </c>
      <c r="C24" s="304">
        <v>0</v>
      </c>
      <c r="D24" s="10">
        <f>C$23*C24</f>
        <v>0</v>
      </c>
      <c r="E24" s="290">
        <v>10</v>
      </c>
      <c r="F24" s="10">
        <f t="shared" si="4"/>
        <v>0</v>
      </c>
      <c r="G24" s="305">
        <v>0.1</v>
      </c>
      <c r="H24" s="10">
        <f t="shared" si="5"/>
        <v>0</v>
      </c>
    </row>
    <row r="25" spans="1:8">
      <c r="A25" s="472"/>
      <c r="B25" s="289" t="s">
        <v>491</v>
      </c>
      <c r="C25" s="304">
        <v>0.3</v>
      </c>
      <c r="D25" s="10">
        <f>C$23*C25</f>
        <v>360</v>
      </c>
      <c r="E25" s="290">
        <v>10</v>
      </c>
      <c r="F25" s="10">
        <f t="shared" si="4"/>
        <v>3600</v>
      </c>
      <c r="G25" s="305">
        <v>0.1</v>
      </c>
      <c r="H25" s="10">
        <f t="shared" si="5"/>
        <v>3240</v>
      </c>
    </row>
    <row r="26" spans="1:8">
      <c r="A26" s="472"/>
      <c r="B26" s="289" t="s">
        <v>413</v>
      </c>
      <c r="C26" s="304">
        <v>0</v>
      </c>
      <c r="D26" s="10">
        <f>C$23*C26</f>
        <v>0</v>
      </c>
      <c r="E26" s="290">
        <v>10</v>
      </c>
      <c r="F26" s="10">
        <f t="shared" si="4"/>
        <v>0</v>
      </c>
      <c r="G26" s="305">
        <v>0.05</v>
      </c>
      <c r="H26" s="10">
        <f t="shared" si="5"/>
        <v>0</v>
      </c>
    </row>
    <row r="27" spans="1:8">
      <c r="A27" s="472"/>
      <c r="B27" s="289" t="s">
        <v>410</v>
      </c>
      <c r="C27" s="304">
        <v>0</v>
      </c>
      <c r="D27" s="10">
        <f t="shared" ref="D27:D31" si="6">C$23*C27</f>
        <v>0</v>
      </c>
      <c r="E27" s="290">
        <v>20</v>
      </c>
      <c r="F27" s="10">
        <f t="shared" si="4"/>
        <v>0</v>
      </c>
      <c r="G27" s="305">
        <v>0</v>
      </c>
      <c r="H27" s="10">
        <f t="shared" si="5"/>
        <v>0</v>
      </c>
    </row>
    <row r="28" spans="1:8">
      <c r="A28" s="472"/>
      <c r="B28" s="289" t="s">
        <v>494</v>
      </c>
      <c r="C28" s="304">
        <v>0</v>
      </c>
      <c r="D28" s="10">
        <f t="shared" si="6"/>
        <v>0</v>
      </c>
      <c r="E28" s="290"/>
      <c r="F28" s="10">
        <f t="shared" si="4"/>
        <v>0</v>
      </c>
      <c r="G28" s="305">
        <v>0</v>
      </c>
      <c r="H28" s="10">
        <f t="shared" si="5"/>
        <v>0</v>
      </c>
    </row>
    <row r="29" spans="1:8">
      <c r="A29" s="472"/>
      <c r="B29" s="289"/>
      <c r="C29" s="304">
        <v>0</v>
      </c>
      <c r="D29" s="10">
        <f t="shared" si="6"/>
        <v>0</v>
      </c>
      <c r="E29" s="290"/>
      <c r="F29" s="10">
        <f t="shared" si="4"/>
        <v>0</v>
      </c>
      <c r="G29" s="305">
        <v>0</v>
      </c>
      <c r="H29" s="10">
        <f t="shared" si="5"/>
        <v>0</v>
      </c>
    </row>
    <row r="30" spans="1:8">
      <c r="A30" s="472"/>
      <c r="B30" s="289"/>
      <c r="C30" s="304">
        <v>0</v>
      </c>
      <c r="D30" s="10">
        <f t="shared" si="6"/>
        <v>0</v>
      </c>
      <c r="E30" s="290"/>
      <c r="F30" s="10">
        <f t="shared" si="4"/>
        <v>0</v>
      </c>
      <c r="G30" s="305">
        <v>0</v>
      </c>
      <c r="H30" s="10">
        <f t="shared" si="5"/>
        <v>0</v>
      </c>
    </row>
    <row r="31" spans="1:8">
      <c r="A31" s="473"/>
      <c r="B31" s="289"/>
      <c r="C31" s="304">
        <v>0</v>
      </c>
      <c r="D31" s="10">
        <f t="shared" si="6"/>
        <v>0</v>
      </c>
      <c r="E31" s="290"/>
      <c r="F31" s="10">
        <f t="shared" si="4"/>
        <v>0</v>
      </c>
      <c r="G31" s="305">
        <v>0</v>
      </c>
      <c r="H31" s="10">
        <f t="shared" si="5"/>
        <v>0</v>
      </c>
    </row>
    <row r="32" spans="1:8">
      <c r="A32" s="319" t="s">
        <v>496</v>
      </c>
      <c r="B32" s="329">
        <v>0.05</v>
      </c>
      <c r="C32" s="298">
        <f>B9*B32</f>
        <v>200</v>
      </c>
      <c r="D32" s="10"/>
      <c r="E32" s="290"/>
      <c r="F32" s="10"/>
      <c r="G32" s="305"/>
      <c r="H32" s="10"/>
    </row>
    <row r="33" spans="1:8">
      <c r="A33" s="332" t="s">
        <v>474</v>
      </c>
      <c r="B33" s="289" t="s">
        <v>495</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70" t="s">
        <v>414</v>
      </c>
      <c r="B37" s="470"/>
      <c r="C37" s="470"/>
      <c r="D37" s="470"/>
      <c r="E37" s="470"/>
      <c r="F37" s="470"/>
      <c r="G37" s="470"/>
      <c r="H37" s="470"/>
    </row>
    <row r="39" spans="1:8" ht="17.5">
      <c r="A39" s="474" t="s">
        <v>590</v>
      </c>
      <c r="B39" s="475"/>
      <c r="C39" s="475"/>
      <c r="D39" s="475"/>
      <c r="E39" s="475"/>
      <c r="F39" s="475"/>
      <c r="G39" s="475"/>
      <c r="H39" s="476"/>
    </row>
    <row r="40" spans="1:8">
      <c r="A40" s="477" t="s">
        <v>0</v>
      </c>
      <c r="B40" s="320">
        <v>1E-8</v>
      </c>
      <c r="C40" s="320">
        <v>1E-8</v>
      </c>
      <c r="D40" s="320">
        <v>1E-8</v>
      </c>
      <c r="E40" s="320">
        <v>1E-8</v>
      </c>
      <c r="F40" s="320">
        <v>1E-8</v>
      </c>
      <c r="G40" s="320">
        <v>1E-8</v>
      </c>
      <c r="H40" s="320">
        <v>1E-8</v>
      </c>
    </row>
    <row r="41" spans="1:8">
      <c r="A41" s="478"/>
      <c r="B41" s="311" t="s">
        <v>2</v>
      </c>
      <c r="C41" s="311" t="s">
        <v>3</v>
      </c>
      <c r="D41" s="311" t="s">
        <v>4</v>
      </c>
      <c r="E41" s="311" t="s">
        <v>5</v>
      </c>
      <c r="F41" s="311" t="s">
        <v>6</v>
      </c>
      <c r="G41" s="311" t="s">
        <v>171</v>
      </c>
      <c r="H41" s="311" t="s">
        <v>170</v>
      </c>
    </row>
    <row r="42" spans="1:8">
      <c r="A42" s="10" t="str">
        <f t="shared" ref="A42:A50" si="7">B14</f>
        <v>Soybean</v>
      </c>
      <c r="B42" s="10">
        <f t="shared" ref="B42:B50" si="8">H14*$B$40</f>
        <v>0</v>
      </c>
      <c r="C42" s="10">
        <f t="shared" ref="C42:H51" si="9">(B42/B$40)*C$40</f>
        <v>0</v>
      </c>
      <c r="D42" s="10">
        <f t="shared" si="9"/>
        <v>0</v>
      </c>
      <c r="E42" s="10">
        <f t="shared" si="9"/>
        <v>0</v>
      </c>
      <c r="F42" s="10">
        <f t="shared" si="9"/>
        <v>0</v>
      </c>
      <c r="G42" s="10">
        <f t="shared" si="9"/>
        <v>0</v>
      </c>
      <c r="H42" s="10">
        <f t="shared" si="9"/>
        <v>0</v>
      </c>
    </row>
    <row r="43" spans="1:8">
      <c r="A43" s="10" t="str">
        <f t="shared" si="7"/>
        <v>Red Gram/Tur</v>
      </c>
      <c r="B43" s="10">
        <f t="shared" si="8"/>
        <v>0</v>
      </c>
      <c r="C43" s="10">
        <f t="shared" si="9"/>
        <v>0</v>
      </c>
      <c r="D43" s="10">
        <f t="shared" si="9"/>
        <v>0</v>
      </c>
      <c r="E43" s="10">
        <f t="shared" si="9"/>
        <v>0</v>
      </c>
      <c r="F43" s="10">
        <f t="shared" si="9"/>
        <v>0</v>
      </c>
      <c r="G43" s="10">
        <f t="shared" si="9"/>
        <v>0</v>
      </c>
      <c r="H43" s="10">
        <f t="shared" si="9"/>
        <v>0</v>
      </c>
    </row>
    <row r="44" spans="1:8">
      <c r="A44" s="10" t="str">
        <f t="shared" si="7"/>
        <v>Paddy/Rice</v>
      </c>
      <c r="B44" s="10">
        <f t="shared" si="8"/>
        <v>4.8000000000000001E-4</v>
      </c>
      <c r="C44" s="10">
        <f t="shared" si="9"/>
        <v>4.8000000000000001E-4</v>
      </c>
      <c r="D44" s="10">
        <f t="shared" si="9"/>
        <v>4.8000000000000001E-4</v>
      </c>
      <c r="E44" s="10">
        <f t="shared" si="9"/>
        <v>4.8000000000000001E-4</v>
      </c>
      <c r="F44" s="10">
        <f t="shared" si="9"/>
        <v>4.8000000000000001E-4</v>
      </c>
      <c r="G44" s="10">
        <f t="shared" si="9"/>
        <v>4.8000000000000001E-4</v>
      </c>
      <c r="H44" s="10">
        <f t="shared" si="9"/>
        <v>4.8000000000000001E-4</v>
      </c>
    </row>
    <row r="45" spans="1:8">
      <c r="A45" s="10" t="str">
        <f t="shared" si="7"/>
        <v>Green Gram/ Moong</v>
      </c>
      <c r="B45" s="10">
        <f t="shared" si="8"/>
        <v>0</v>
      </c>
      <c r="C45" s="10">
        <f t="shared" si="9"/>
        <v>0</v>
      </c>
      <c r="D45" s="10">
        <f t="shared" si="9"/>
        <v>0</v>
      </c>
      <c r="E45" s="10">
        <f t="shared" si="9"/>
        <v>0</v>
      </c>
      <c r="F45" s="10">
        <f t="shared" si="9"/>
        <v>0</v>
      </c>
      <c r="G45" s="10">
        <f t="shared" si="9"/>
        <v>0</v>
      </c>
      <c r="H45" s="10">
        <f t="shared" si="9"/>
        <v>0</v>
      </c>
    </row>
    <row r="46" spans="1:8">
      <c r="A46" s="10" t="str">
        <f t="shared" si="7"/>
        <v>Maize</v>
      </c>
      <c r="B46" s="10">
        <f t="shared" si="8"/>
        <v>0</v>
      </c>
      <c r="C46" s="10">
        <f t="shared" si="9"/>
        <v>0</v>
      </c>
      <c r="D46" s="10">
        <f t="shared" si="9"/>
        <v>0</v>
      </c>
      <c r="E46" s="10">
        <f t="shared" si="9"/>
        <v>0</v>
      </c>
      <c r="F46" s="10">
        <f t="shared" si="9"/>
        <v>0</v>
      </c>
      <c r="G46" s="10">
        <f t="shared" si="9"/>
        <v>0</v>
      </c>
      <c r="H46" s="10">
        <f t="shared" si="9"/>
        <v>0</v>
      </c>
    </row>
    <row r="47" spans="1:8">
      <c r="A47" s="10" t="str">
        <f t="shared" si="7"/>
        <v>Black Gram/Udid</v>
      </c>
      <c r="B47" s="10">
        <f t="shared" si="8"/>
        <v>0</v>
      </c>
      <c r="C47" s="10">
        <f t="shared" si="9"/>
        <v>0</v>
      </c>
      <c r="D47" s="10">
        <f t="shared" si="9"/>
        <v>0</v>
      </c>
      <c r="E47" s="10">
        <f t="shared" si="9"/>
        <v>0</v>
      </c>
      <c r="F47" s="10">
        <f t="shared" si="9"/>
        <v>0</v>
      </c>
      <c r="G47" s="10">
        <f t="shared" si="9"/>
        <v>0</v>
      </c>
      <c r="H47" s="10">
        <f t="shared" si="9"/>
        <v>0</v>
      </c>
    </row>
    <row r="48" spans="1:8">
      <c r="A48" s="10" t="str">
        <f t="shared" si="7"/>
        <v>Bajra</v>
      </c>
      <c r="B48" s="10">
        <f t="shared" si="8"/>
        <v>0</v>
      </c>
      <c r="C48" s="10">
        <f t="shared" si="9"/>
        <v>0</v>
      </c>
      <c r="D48" s="10">
        <f t="shared" si="9"/>
        <v>0</v>
      </c>
      <c r="E48" s="10">
        <f t="shared" si="9"/>
        <v>0</v>
      </c>
      <c r="F48" s="10">
        <f t="shared" si="9"/>
        <v>0</v>
      </c>
      <c r="G48" s="10">
        <f t="shared" si="9"/>
        <v>0</v>
      </c>
      <c r="H48" s="10">
        <f t="shared" si="9"/>
        <v>0</v>
      </c>
    </row>
    <row r="49" spans="1:8">
      <c r="A49" s="10" t="str">
        <f t="shared" si="7"/>
        <v>Jawar</v>
      </c>
      <c r="B49" s="10">
        <f t="shared" si="8"/>
        <v>0</v>
      </c>
      <c r="C49" s="10">
        <f t="shared" si="9"/>
        <v>0</v>
      </c>
      <c r="D49" s="10">
        <f t="shared" si="9"/>
        <v>0</v>
      </c>
      <c r="E49" s="10">
        <f t="shared" si="9"/>
        <v>0</v>
      </c>
      <c r="F49" s="10">
        <f t="shared" si="9"/>
        <v>0</v>
      </c>
      <c r="G49" s="10">
        <f t="shared" si="9"/>
        <v>0</v>
      </c>
      <c r="H49" s="10">
        <f t="shared" si="9"/>
        <v>0</v>
      </c>
    </row>
    <row r="50" spans="1:8">
      <c r="A50" s="10" t="str">
        <f t="shared" si="7"/>
        <v>Sunflower</v>
      </c>
      <c r="B50" s="10">
        <f t="shared" si="8"/>
        <v>0</v>
      </c>
      <c r="C50" s="10">
        <f t="shared" si="9"/>
        <v>0</v>
      </c>
      <c r="D50" s="10">
        <f t="shared" si="9"/>
        <v>0</v>
      </c>
      <c r="E50" s="10">
        <f t="shared" si="9"/>
        <v>0</v>
      </c>
      <c r="F50" s="10">
        <f t="shared" si="9"/>
        <v>0</v>
      </c>
      <c r="G50" s="10">
        <f t="shared" si="9"/>
        <v>0</v>
      </c>
      <c r="H50" s="10">
        <f t="shared" si="9"/>
        <v>0</v>
      </c>
    </row>
    <row r="51" spans="1:8">
      <c r="A51" s="10" t="str">
        <f t="shared" ref="A51:A58" si="10">B24</f>
        <v>Wheat</v>
      </c>
      <c r="B51" s="10">
        <f t="shared" ref="B51:B58" si="11">H24*$B$40</f>
        <v>0</v>
      </c>
      <c r="C51" s="10">
        <f t="shared" si="9"/>
        <v>0</v>
      </c>
      <c r="D51" s="10">
        <f t="shared" si="9"/>
        <v>0</v>
      </c>
      <c r="E51" s="10">
        <f t="shared" si="9"/>
        <v>0</v>
      </c>
      <c r="F51" s="10">
        <f t="shared" si="9"/>
        <v>0</v>
      </c>
      <c r="G51" s="10">
        <f t="shared" si="9"/>
        <v>0</v>
      </c>
      <c r="H51" s="10">
        <f t="shared" si="9"/>
        <v>0</v>
      </c>
    </row>
    <row r="52" spans="1:8">
      <c r="A52" s="10" t="str">
        <f t="shared" si="10"/>
        <v>Paddy/Rice</v>
      </c>
      <c r="B52" s="10">
        <f t="shared" si="11"/>
        <v>3.2400000000000001E-5</v>
      </c>
      <c r="C52" s="10">
        <f t="shared" ref="C52:H61" si="12">(B52/B$40)*C$40</f>
        <v>3.2400000000000001E-5</v>
      </c>
      <c r="D52" s="10">
        <f t="shared" si="12"/>
        <v>3.2400000000000001E-5</v>
      </c>
      <c r="E52" s="10">
        <f t="shared" si="12"/>
        <v>3.2400000000000001E-5</v>
      </c>
      <c r="F52" s="10">
        <f t="shared" si="12"/>
        <v>3.2400000000000001E-5</v>
      </c>
      <c r="G52" s="10">
        <f t="shared" si="12"/>
        <v>3.2400000000000001E-5</v>
      </c>
      <c r="H52" s="10">
        <f t="shared" si="12"/>
        <v>3.2400000000000001E-5</v>
      </c>
    </row>
    <row r="53" spans="1:8">
      <c r="A53" s="10" t="str">
        <f t="shared" si="10"/>
        <v>Jawar</v>
      </c>
      <c r="B53" s="10">
        <f t="shared" si="11"/>
        <v>0</v>
      </c>
      <c r="C53" s="10">
        <f t="shared" si="12"/>
        <v>0</v>
      </c>
      <c r="D53" s="10">
        <f t="shared" si="12"/>
        <v>0</v>
      </c>
      <c r="E53" s="10">
        <f t="shared" si="12"/>
        <v>0</v>
      </c>
      <c r="F53" s="10">
        <f t="shared" si="12"/>
        <v>0</v>
      </c>
      <c r="G53" s="10">
        <f t="shared" si="12"/>
        <v>0</v>
      </c>
      <c r="H53" s="10">
        <f t="shared" si="12"/>
        <v>0</v>
      </c>
    </row>
    <row r="54" spans="1:8">
      <c r="A54" s="10" t="str">
        <f t="shared" si="10"/>
        <v>Maize</v>
      </c>
      <c r="B54" s="10">
        <f t="shared" si="11"/>
        <v>0</v>
      </c>
      <c r="C54" s="10">
        <f t="shared" si="12"/>
        <v>0</v>
      </c>
      <c r="D54" s="10">
        <f t="shared" si="12"/>
        <v>0</v>
      </c>
      <c r="E54" s="10">
        <f t="shared" si="12"/>
        <v>0</v>
      </c>
      <c r="F54" s="10">
        <f t="shared" si="12"/>
        <v>0</v>
      </c>
      <c r="G54" s="10">
        <f t="shared" si="12"/>
        <v>0</v>
      </c>
      <c r="H54" s="10">
        <f t="shared" si="12"/>
        <v>0</v>
      </c>
    </row>
    <row r="55" spans="1:8">
      <c r="A55" s="10" t="str">
        <f t="shared" si="10"/>
        <v>Safflower</v>
      </c>
      <c r="B55" s="10">
        <f t="shared" si="11"/>
        <v>0</v>
      </c>
      <c r="C55" s="10">
        <f t="shared" si="12"/>
        <v>0</v>
      </c>
      <c r="D55" s="10">
        <f t="shared" si="12"/>
        <v>0</v>
      </c>
      <c r="E55" s="10">
        <f t="shared" si="12"/>
        <v>0</v>
      </c>
      <c r="F55" s="10">
        <f t="shared" si="12"/>
        <v>0</v>
      </c>
      <c r="G55" s="10">
        <f t="shared" si="12"/>
        <v>0</v>
      </c>
      <c r="H55" s="10">
        <f t="shared" si="12"/>
        <v>0</v>
      </c>
    </row>
    <row r="56" spans="1:8">
      <c r="A56" s="10">
        <f t="shared" si="10"/>
        <v>0</v>
      </c>
      <c r="B56" s="10">
        <f t="shared" si="11"/>
        <v>0</v>
      </c>
      <c r="C56" s="10">
        <f t="shared" si="12"/>
        <v>0</v>
      </c>
      <c r="D56" s="10">
        <f t="shared" si="12"/>
        <v>0</v>
      </c>
      <c r="E56" s="10">
        <f t="shared" si="12"/>
        <v>0</v>
      </c>
      <c r="F56" s="10">
        <f t="shared" si="12"/>
        <v>0</v>
      </c>
      <c r="G56" s="10">
        <f t="shared" si="12"/>
        <v>0</v>
      </c>
      <c r="H56" s="10">
        <f t="shared" si="12"/>
        <v>0</v>
      </c>
    </row>
    <row r="57" spans="1:8">
      <c r="A57" s="10">
        <f t="shared" si="10"/>
        <v>0</v>
      </c>
      <c r="B57" s="10">
        <f t="shared" si="11"/>
        <v>0</v>
      </c>
      <c r="C57" s="10">
        <f t="shared" si="12"/>
        <v>0</v>
      </c>
      <c r="D57" s="10">
        <f t="shared" si="12"/>
        <v>0</v>
      </c>
      <c r="E57" s="10">
        <f t="shared" si="12"/>
        <v>0</v>
      </c>
      <c r="F57" s="10">
        <f t="shared" si="12"/>
        <v>0</v>
      </c>
      <c r="G57" s="10">
        <f t="shared" si="12"/>
        <v>0</v>
      </c>
      <c r="H57" s="10">
        <f t="shared" si="12"/>
        <v>0</v>
      </c>
    </row>
    <row r="58" spans="1:8">
      <c r="A58" s="10">
        <f t="shared" si="10"/>
        <v>0</v>
      </c>
      <c r="B58" s="10">
        <f t="shared" si="11"/>
        <v>0</v>
      </c>
      <c r="C58" s="10">
        <f t="shared" si="12"/>
        <v>0</v>
      </c>
      <c r="D58" s="10">
        <f t="shared" si="12"/>
        <v>0</v>
      </c>
      <c r="E58" s="10">
        <f t="shared" si="12"/>
        <v>0</v>
      </c>
      <c r="F58" s="10">
        <f t="shared" si="12"/>
        <v>0</v>
      </c>
      <c r="G58" s="10">
        <f t="shared" si="12"/>
        <v>0</v>
      </c>
      <c r="H58" s="10">
        <f t="shared" si="12"/>
        <v>0</v>
      </c>
    </row>
    <row r="59" spans="1:8">
      <c r="A59" s="10" t="str">
        <f>B33</f>
        <v>Groundnut</v>
      </c>
      <c r="B59" s="10">
        <f>H33*$B$40</f>
        <v>0</v>
      </c>
      <c r="C59" s="10">
        <f t="shared" si="12"/>
        <v>0</v>
      </c>
      <c r="D59" s="10">
        <f t="shared" si="12"/>
        <v>0</v>
      </c>
      <c r="E59" s="10">
        <f t="shared" si="12"/>
        <v>0</v>
      </c>
      <c r="F59" s="10">
        <f t="shared" si="12"/>
        <v>0</v>
      </c>
      <c r="G59" s="10">
        <f t="shared" si="12"/>
        <v>0</v>
      </c>
      <c r="H59" s="10">
        <f t="shared" si="12"/>
        <v>0</v>
      </c>
    </row>
    <row r="60" spans="1:8">
      <c r="A60" s="10">
        <f>B34</f>
        <v>0</v>
      </c>
      <c r="B60" s="10">
        <f>H34*$B$40</f>
        <v>0</v>
      </c>
      <c r="C60" s="10">
        <f t="shared" si="12"/>
        <v>0</v>
      </c>
      <c r="D60" s="10">
        <f t="shared" si="12"/>
        <v>0</v>
      </c>
      <c r="E60" s="10">
        <f t="shared" si="12"/>
        <v>0</v>
      </c>
      <c r="F60" s="10">
        <f t="shared" si="12"/>
        <v>0</v>
      </c>
      <c r="G60" s="10">
        <f t="shared" si="12"/>
        <v>0</v>
      </c>
      <c r="H60" s="10">
        <f t="shared" si="12"/>
        <v>0</v>
      </c>
    </row>
    <row r="61" spans="1:8">
      <c r="A61" s="10">
        <f>B35</f>
        <v>0</v>
      </c>
      <c r="B61" s="10">
        <f>H35*$B$40</f>
        <v>0</v>
      </c>
      <c r="C61" s="10">
        <f t="shared" si="12"/>
        <v>0</v>
      </c>
      <c r="D61" s="10">
        <f t="shared" si="12"/>
        <v>0</v>
      </c>
      <c r="E61" s="10">
        <f t="shared" si="12"/>
        <v>0</v>
      </c>
      <c r="F61" s="10">
        <f t="shared" si="12"/>
        <v>0</v>
      </c>
      <c r="G61" s="10">
        <f t="shared" si="12"/>
        <v>0</v>
      </c>
      <c r="H61" s="10">
        <f t="shared" si="12"/>
        <v>0</v>
      </c>
    </row>
    <row r="62" spans="1:8">
      <c r="A62" s="10">
        <f>B36</f>
        <v>0</v>
      </c>
      <c r="B62" s="10">
        <f>H36*$B$40</f>
        <v>0</v>
      </c>
      <c r="C62" s="10">
        <f t="shared" ref="C62:H62" si="13">(B62/B$40)*C$40</f>
        <v>0</v>
      </c>
      <c r="D62" s="10">
        <f t="shared" si="13"/>
        <v>0</v>
      </c>
      <c r="E62" s="10">
        <f t="shared" si="13"/>
        <v>0</v>
      </c>
      <c r="F62" s="10">
        <f t="shared" si="13"/>
        <v>0</v>
      </c>
      <c r="G62" s="10">
        <f t="shared" si="13"/>
        <v>0</v>
      </c>
      <c r="H62" s="10">
        <f t="shared" si="13"/>
        <v>0</v>
      </c>
    </row>
    <row r="64" spans="1:8" ht="17.5">
      <c r="A64" s="479" t="s">
        <v>591</v>
      </c>
      <c r="B64" s="480"/>
      <c r="C64" s="480"/>
      <c r="D64" s="480"/>
      <c r="E64" s="480"/>
      <c r="F64" s="480"/>
      <c r="G64" s="480"/>
      <c r="H64" s="481"/>
    </row>
    <row r="65" spans="1:8">
      <c r="A65" s="482" t="s">
        <v>0</v>
      </c>
      <c r="B65" s="320">
        <v>1E-8</v>
      </c>
      <c r="C65" s="320">
        <v>1E-8</v>
      </c>
      <c r="D65" s="320">
        <v>1E-8</v>
      </c>
      <c r="E65" s="320">
        <v>1E-8</v>
      </c>
      <c r="F65" s="320">
        <v>1E-8</v>
      </c>
      <c r="G65" s="320">
        <v>1E-8</v>
      </c>
      <c r="H65" s="320">
        <v>1E-8</v>
      </c>
    </row>
    <row r="66" spans="1:8">
      <c r="A66" s="483"/>
      <c r="B66" s="311" t="s">
        <v>2</v>
      </c>
      <c r="C66" s="311" t="s">
        <v>3</v>
      </c>
      <c r="D66" s="311" t="s">
        <v>4</v>
      </c>
      <c r="E66" s="311" t="s">
        <v>5</v>
      </c>
      <c r="F66" s="311" t="s">
        <v>6</v>
      </c>
      <c r="G66" s="311" t="s">
        <v>171</v>
      </c>
      <c r="H66" s="311" t="s">
        <v>170</v>
      </c>
    </row>
    <row r="67" spans="1:8" s="13" customFormat="1">
      <c r="A67" s="10" t="str">
        <f t="shared" ref="A67:A87" si="14">A42</f>
        <v>Soybean</v>
      </c>
      <c r="B67" s="10">
        <f>H14*$B$65*0</f>
        <v>0</v>
      </c>
      <c r="C67" s="10">
        <f>(B67/B$65)*C$65</f>
        <v>0</v>
      </c>
      <c r="D67" s="10">
        <f t="shared" ref="D67:H68" si="15">(C67/C$65)*D$65</f>
        <v>0</v>
      </c>
      <c r="E67" s="10">
        <f t="shared" si="15"/>
        <v>0</v>
      </c>
      <c r="F67" s="10">
        <f t="shared" si="15"/>
        <v>0</v>
      </c>
      <c r="G67" s="10">
        <f t="shared" si="15"/>
        <v>0</v>
      </c>
      <c r="H67" s="10">
        <f t="shared" si="15"/>
        <v>0</v>
      </c>
    </row>
    <row r="68" spans="1:8">
      <c r="A68" s="10" t="str">
        <f t="shared" si="14"/>
        <v>Red Gram/Tur</v>
      </c>
      <c r="B68" s="10">
        <f t="shared" ref="B68:B75" si="16">H15*$B$65</f>
        <v>0</v>
      </c>
      <c r="C68" s="10">
        <f>(B68/B$65)*C$65</f>
        <v>0</v>
      </c>
      <c r="D68" s="10">
        <f t="shared" si="15"/>
        <v>0</v>
      </c>
      <c r="E68" s="10">
        <f t="shared" si="15"/>
        <v>0</v>
      </c>
      <c r="F68" s="10">
        <f t="shared" si="15"/>
        <v>0</v>
      </c>
      <c r="G68" s="10">
        <f t="shared" si="15"/>
        <v>0</v>
      </c>
      <c r="H68" s="10">
        <f t="shared" si="15"/>
        <v>0</v>
      </c>
    </row>
    <row r="69" spans="1:8">
      <c r="A69" s="10" t="str">
        <f t="shared" si="14"/>
        <v>Paddy/Rice</v>
      </c>
      <c r="B69" s="10">
        <f t="shared" si="16"/>
        <v>4.8000000000000001E-4</v>
      </c>
      <c r="C69" s="10">
        <f t="shared" ref="C69:H69" si="17">(B69/B$65)*C$65</f>
        <v>4.8000000000000001E-4</v>
      </c>
      <c r="D69" s="10">
        <f t="shared" si="17"/>
        <v>4.8000000000000001E-4</v>
      </c>
      <c r="E69" s="10">
        <f t="shared" si="17"/>
        <v>4.8000000000000001E-4</v>
      </c>
      <c r="F69" s="10">
        <f t="shared" si="17"/>
        <v>4.8000000000000001E-4</v>
      </c>
      <c r="G69" s="10">
        <f t="shared" si="17"/>
        <v>4.8000000000000001E-4</v>
      </c>
      <c r="H69" s="10">
        <f t="shared" si="17"/>
        <v>4.8000000000000001E-4</v>
      </c>
    </row>
    <row r="70" spans="1:8">
      <c r="A70" s="10" t="str">
        <f t="shared" si="14"/>
        <v>Green Gram/ Moong</v>
      </c>
      <c r="B70" s="10">
        <f t="shared" si="16"/>
        <v>0</v>
      </c>
      <c r="C70" s="10">
        <f t="shared" ref="C70:H70" si="18">(B70/B$65)*C$65</f>
        <v>0</v>
      </c>
      <c r="D70" s="10">
        <f t="shared" si="18"/>
        <v>0</v>
      </c>
      <c r="E70" s="10">
        <f t="shared" si="18"/>
        <v>0</v>
      </c>
      <c r="F70" s="10">
        <f t="shared" si="18"/>
        <v>0</v>
      </c>
      <c r="G70" s="10">
        <f t="shared" si="18"/>
        <v>0</v>
      </c>
      <c r="H70" s="10">
        <f t="shared" si="18"/>
        <v>0</v>
      </c>
    </row>
    <row r="71" spans="1:8">
      <c r="A71" s="10" t="str">
        <f t="shared" si="14"/>
        <v>Maize</v>
      </c>
      <c r="B71" s="10">
        <f t="shared" si="16"/>
        <v>0</v>
      </c>
      <c r="C71" s="10">
        <f t="shared" ref="C71:H71" si="19">(B71/B$65)*C$65</f>
        <v>0</v>
      </c>
      <c r="D71" s="10">
        <f t="shared" si="19"/>
        <v>0</v>
      </c>
      <c r="E71" s="10">
        <f t="shared" si="19"/>
        <v>0</v>
      </c>
      <c r="F71" s="10">
        <f t="shared" si="19"/>
        <v>0</v>
      </c>
      <c r="G71" s="10">
        <f t="shared" si="19"/>
        <v>0</v>
      </c>
      <c r="H71" s="10">
        <f t="shared" si="19"/>
        <v>0</v>
      </c>
    </row>
    <row r="72" spans="1:8">
      <c r="A72" s="10" t="str">
        <f t="shared" si="14"/>
        <v>Black Gram/Udid</v>
      </c>
      <c r="B72" s="10">
        <f t="shared" si="16"/>
        <v>0</v>
      </c>
      <c r="C72" s="10">
        <f t="shared" ref="C72:H72" si="20">(B72/B$65)*C$65</f>
        <v>0</v>
      </c>
      <c r="D72" s="10">
        <f t="shared" si="20"/>
        <v>0</v>
      </c>
      <c r="E72" s="10">
        <f t="shared" si="20"/>
        <v>0</v>
      </c>
      <c r="F72" s="10">
        <f t="shared" si="20"/>
        <v>0</v>
      </c>
      <c r="G72" s="10">
        <f t="shared" si="20"/>
        <v>0</v>
      </c>
      <c r="H72" s="10">
        <f t="shared" si="20"/>
        <v>0</v>
      </c>
    </row>
    <row r="73" spans="1:8">
      <c r="A73" s="10" t="str">
        <f t="shared" si="14"/>
        <v>Bajra</v>
      </c>
      <c r="B73" s="10">
        <f t="shared" si="16"/>
        <v>0</v>
      </c>
      <c r="C73" s="10">
        <f t="shared" ref="C73:H73" si="21">(B73/B$65)*C$65</f>
        <v>0</v>
      </c>
      <c r="D73" s="10">
        <f t="shared" si="21"/>
        <v>0</v>
      </c>
      <c r="E73" s="10">
        <f t="shared" si="21"/>
        <v>0</v>
      </c>
      <c r="F73" s="10">
        <f t="shared" si="21"/>
        <v>0</v>
      </c>
      <c r="G73" s="10">
        <f t="shared" si="21"/>
        <v>0</v>
      </c>
      <c r="H73" s="10">
        <f t="shared" si="21"/>
        <v>0</v>
      </c>
    </row>
    <row r="74" spans="1:8">
      <c r="A74" s="10" t="str">
        <f t="shared" si="14"/>
        <v>Jawar</v>
      </c>
      <c r="B74" s="10">
        <f t="shared" si="16"/>
        <v>0</v>
      </c>
      <c r="C74" s="10">
        <f t="shared" ref="C74:H74" si="22">(B74/B$65)*C$65</f>
        <v>0</v>
      </c>
      <c r="D74" s="10">
        <f t="shared" si="22"/>
        <v>0</v>
      </c>
      <c r="E74" s="10">
        <f t="shared" si="22"/>
        <v>0</v>
      </c>
      <c r="F74" s="10">
        <f t="shared" si="22"/>
        <v>0</v>
      </c>
      <c r="G74" s="10">
        <f t="shared" si="22"/>
        <v>0</v>
      </c>
      <c r="H74" s="10">
        <f t="shared" si="22"/>
        <v>0</v>
      </c>
    </row>
    <row r="75" spans="1:8">
      <c r="A75" s="10" t="str">
        <f t="shared" si="14"/>
        <v>Sunflower</v>
      </c>
      <c r="B75" s="10">
        <f t="shared" si="16"/>
        <v>0</v>
      </c>
      <c r="C75" s="10">
        <f t="shared" ref="C75:H75" si="23">(B75/B$65)*C$65</f>
        <v>0</v>
      </c>
      <c r="D75" s="10">
        <f t="shared" si="23"/>
        <v>0</v>
      </c>
      <c r="E75" s="10">
        <f t="shared" si="23"/>
        <v>0</v>
      </c>
      <c r="F75" s="10">
        <f t="shared" si="23"/>
        <v>0</v>
      </c>
      <c r="G75" s="10">
        <f t="shared" si="23"/>
        <v>0</v>
      </c>
      <c r="H75" s="10">
        <f t="shared" si="23"/>
        <v>0</v>
      </c>
    </row>
    <row r="76" spans="1:8">
      <c r="A76" s="10" t="str">
        <f t="shared" si="14"/>
        <v>Wheat</v>
      </c>
      <c r="B76" s="10">
        <f t="shared" ref="B76:B83" si="24">H24*$B$65</f>
        <v>0</v>
      </c>
      <c r="C76" s="10">
        <f t="shared" ref="C76:H76" si="25">(B76/B$65)*C$65</f>
        <v>0</v>
      </c>
      <c r="D76" s="10">
        <f t="shared" si="25"/>
        <v>0</v>
      </c>
      <c r="E76" s="10">
        <f t="shared" si="25"/>
        <v>0</v>
      </c>
      <c r="F76" s="10">
        <f t="shared" si="25"/>
        <v>0</v>
      </c>
      <c r="G76" s="10">
        <f t="shared" si="25"/>
        <v>0</v>
      </c>
      <c r="H76" s="10">
        <f t="shared" si="25"/>
        <v>0</v>
      </c>
    </row>
    <row r="77" spans="1:8">
      <c r="A77" s="10" t="str">
        <f t="shared" si="14"/>
        <v>Paddy/Rice</v>
      </c>
      <c r="B77" s="10">
        <f t="shared" si="24"/>
        <v>3.2400000000000001E-5</v>
      </c>
      <c r="C77" s="10">
        <f t="shared" ref="C77:H77" si="26">(B77/B$65)*C$65</f>
        <v>3.2400000000000001E-5</v>
      </c>
      <c r="D77" s="10">
        <f t="shared" si="26"/>
        <v>3.2400000000000001E-5</v>
      </c>
      <c r="E77" s="10">
        <f t="shared" si="26"/>
        <v>3.2400000000000001E-5</v>
      </c>
      <c r="F77" s="10">
        <f t="shared" si="26"/>
        <v>3.2400000000000001E-5</v>
      </c>
      <c r="G77" s="10">
        <f t="shared" si="26"/>
        <v>3.2400000000000001E-5</v>
      </c>
      <c r="H77" s="10">
        <f t="shared" si="26"/>
        <v>3.2400000000000001E-5</v>
      </c>
    </row>
    <row r="78" spans="1:8">
      <c r="A78" s="10" t="str">
        <f t="shared" si="14"/>
        <v>Jawar</v>
      </c>
      <c r="B78" s="10">
        <f t="shared" si="24"/>
        <v>0</v>
      </c>
      <c r="C78" s="10">
        <f t="shared" ref="C78:H78" si="27">(B78/B$65)*C$65</f>
        <v>0</v>
      </c>
      <c r="D78" s="10">
        <f t="shared" si="27"/>
        <v>0</v>
      </c>
      <c r="E78" s="10">
        <f t="shared" si="27"/>
        <v>0</v>
      </c>
      <c r="F78" s="10">
        <f t="shared" si="27"/>
        <v>0</v>
      </c>
      <c r="G78" s="10">
        <f t="shared" si="27"/>
        <v>0</v>
      </c>
      <c r="H78" s="10">
        <f t="shared" si="27"/>
        <v>0</v>
      </c>
    </row>
    <row r="79" spans="1:8">
      <c r="A79" s="10" t="str">
        <f t="shared" si="14"/>
        <v>Maize</v>
      </c>
      <c r="B79" s="10">
        <f t="shared" si="24"/>
        <v>0</v>
      </c>
      <c r="C79" s="10">
        <f t="shared" ref="C79:H79" si="28">(B79/B$65)*C$65</f>
        <v>0</v>
      </c>
      <c r="D79" s="10">
        <f t="shared" si="28"/>
        <v>0</v>
      </c>
      <c r="E79" s="10">
        <f t="shared" si="28"/>
        <v>0</v>
      </c>
      <c r="F79" s="10">
        <f t="shared" si="28"/>
        <v>0</v>
      </c>
      <c r="G79" s="10">
        <f t="shared" si="28"/>
        <v>0</v>
      </c>
      <c r="H79" s="10">
        <f t="shared" si="28"/>
        <v>0</v>
      </c>
    </row>
    <row r="80" spans="1:8">
      <c r="A80" s="10" t="str">
        <f t="shared" si="14"/>
        <v>Safflower</v>
      </c>
      <c r="B80" s="10">
        <f t="shared" si="24"/>
        <v>0</v>
      </c>
      <c r="C80" s="10">
        <f t="shared" ref="C80:H80" si="29">(B80/B$65)*C$65</f>
        <v>0</v>
      </c>
      <c r="D80" s="10">
        <f t="shared" si="29"/>
        <v>0</v>
      </c>
      <c r="E80" s="10">
        <f t="shared" si="29"/>
        <v>0</v>
      </c>
      <c r="F80" s="10">
        <f t="shared" si="29"/>
        <v>0</v>
      </c>
      <c r="G80" s="10">
        <f t="shared" si="29"/>
        <v>0</v>
      </c>
      <c r="H80" s="10">
        <f t="shared" si="29"/>
        <v>0</v>
      </c>
    </row>
    <row r="81" spans="1:9">
      <c r="A81" s="10">
        <f t="shared" si="14"/>
        <v>0</v>
      </c>
      <c r="B81" s="10">
        <f t="shared" si="24"/>
        <v>0</v>
      </c>
      <c r="C81" s="10">
        <f t="shared" ref="C81:H81" si="30">(B81/B$65)*C$65</f>
        <v>0</v>
      </c>
      <c r="D81" s="10">
        <f t="shared" si="30"/>
        <v>0</v>
      </c>
      <c r="E81" s="10">
        <f t="shared" si="30"/>
        <v>0</v>
      </c>
      <c r="F81" s="10">
        <f t="shared" si="30"/>
        <v>0</v>
      </c>
      <c r="G81" s="10">
        <f t="shared" si="30"/>
        <v>0</v>
      </c>
      <c r="H81" s="10">
        <f t="shared" si="30"/>
        <v>0</v>
      </c>
    </row>
    <row r="82" spans="1:9">
      <c r="A82" s="10">
        <f t="shared" si="14"/>
        <v>0</v>
      </c>
      <c r="B82" s="10">
        <f t="shared" si="24"/>
        <v>0</v>
      </c>
      <c r="C82" s="10">
        <f t="shared" ref="C82:H82" si="31">(B82/B$65)*C$65</f>
        <v>0</v>
      </c>
      <c r="D82" s="10">
        <f t="shared" si="31"/>
        <v>0</v>
      </c>
      <c r="E82" s="10">
        <f t="shared" si="31"/>
        <v>0</v>
      </c>
      <c r="F82" s="10">
        <f t="shared" si="31"/>
        <v>0</v>
      </c>
      <c r="G82" s="10">
        <f t="shared" si="31"/>
        <v>0</v>
      </c>
      <c r="H82" s="10">
        <f t="shared" si="31"/>
        <v>0</v>
      </c>
    </row>
    <row r="83" spans="1:9">
      <c r="A83" s="10">
        <f t="shared" si="14"/>
        <v>0</v>
      </c>
      <c r="B83" s="10">
        <f t="shared" si="24"/>
        <v>0</v>
      </c>
      <c r="C83" s="10">
        <f t="shared" ref="C83:H83" si="32">(B83/B$65)*C$65</f>
        <v>0</v>
      </c>
      <c r="D83" s="10">
        <f t="shared" si="32"/>
        <v>0</v>
      </c>
      <c r="E83" s="10">
        <f t="shared" si="32"/>
        <v>0</v>
      </c>
      <c r="F83" s="10">
        <f t="shared" si="32"/>
        <v>0</v>
      </c>
      <c r="G83" s="10">
        <f t="shared" si="32"/>
        <v>0</v>
      </c>
      <c r="H83" s="10">
        <f t="shared" si="32"/>
        <v>0</v>
      </c>
    </row>
    <row r="84" spans="1:9">
      <c r="A84" s="10" t="str">
        <f t="shared" si="14"/>
        <v>Groundnut</v>
      </c>
      <c r="B84" s="10">
        <f>H33*$B$65</f>
        <v>0</v>
      </c>
      <c r="C84" s="10">
        <f t="shared" ref="C84:H84" si="33">(B84/B$65)*C$65</f>
        <v>0</v>
      </c>
      <c r="D84" s="10">
        <f t="shared" si="33"/>
        <v>0</v>
      </c>
      <c r="E84" s="10">
        <f t="shared" si="33"/>
        <v>0</v>
      </c>
      <c r="F84" s="10">
        <f t="shared" si="33"/>
        <v>0</v>
      </c>
      <c r="G84" s="10">
        <f t="shared" si="33"/>
        <v>0</v>
      </c>
      <c r="H84" s="10">
        <f t="shared" si="33"/>
        <v>0</v>
      </c>
    </row>
    <row r="85" spans="1:9">
      <c r="A85" s="10">
        <f t="shared" si="14"/>
        <v>0</v>
      </c>
      <c r="B85" s="10">
        <f>H34*$B$65</f>
        <v>0</v>
      </c>
      <c r="C85" s="10">
        <f t="shared" ref="C85:H85" si="34">(B85/B$65)*C$65</f>
        <v>0</v>
      </c>
      <c r="D85" s="10">
        <f t="shared" si="34"/>
        <v>0</v>
      </c>
      <c r="E85" s="10">
        <f t="shared" si="34"/>
        <v>0</v>
      </c>
      <c r="F85" s="10">
        <f t="shared" si="34"/>
        <v>0</v>
      </c>
      <c r="G85" s="10">
        <f t="shared" si="34"/>
        <v>0</v>
      </c>
      <c r="H85" s="10">
        <f t="shared" si="34"/>
        <v>0</v>
      </c>
    </row>
    <row r="86" spans="1:9">
      <c r="A86" s="10">
        <f t="shared" si="14"/>
        <v>0</v>
      </c>
      <c r="B86" s="10">
        <f>H35*$B$65</f>
        <v>0</v>
      </c>
      <c r="C86" s="10">
        <f t="shared" ref="C86:H86" si="35">(B86/B$65)*C$65</f>
        <v>0</v>
      </c>
      <c r="D86" s="10">
        <f t="shared" si="35"/>
        <v>0</v>
      </c>
      <c r="E86" s="10">
        <f t="shared" si="35"/>
        <v>0</v>
      </c>
      <c r="F86" s="10">
        <f t="shared" si="35"/>
        <v>0</v>
      </c>
      <c r="G86" s="10">
        <f t="shared" si="35"/>
        <v>0</v>
      </c>
      <c r="H86" s="10">
        <f t="shared" si="35"/>
        <v>0</v>
      </c>
    </row>
    <row r="87" spans="1:9">
      <c r="A87" s="10">
        <f t="shared" si="14"/>
        <v>0</v>
      </c>
      <c r="B87" s="10">
        <f>H36*$B$65</f>
        <v>0</v>
      </c>
      <c r="C87" s="10">
        <f t="shared" ref="C87:H87" si="36">(B87/B$65)*C$65</f>
        <v>0</v>
      </c>
      <c r="D87" s="10">
        <f t="shared" si="36"/>
        <v>0</v>
      </c>
      <c r="E87" s="10">
        <f t="shared" si="36"/>
        <v>0</v>
      </c>
      <c r="F87" s="10">
        <f t="shared" si="36"/>
        <v>0</v>
      </c>
      <c r="G87" s="10">
        <f t="shared" si="36"/>
        <v>0</v>
      </c>
      <c r="H87" s="10">
        <f t="shared" si="36"/>
        <v>0</v>
      </c>
    </row>
    <row r="88" spans="1:9">
      <c r="B88" s="299"/>
      <c r="C88" s="299"/>
      <c r="D88" s="299"/>
      <c r="E88" s="299"/>
      <c r="F88" s="299"/>
      <c r="G88" s="299"/>
      <c r="H88" s="299"/>
      <c r="I88" s="299"/>
    </row>
    <row r="89" spans="1:9">
      <c r="A89" s="484" t="s">
        <v>592</v>
      </c>
      <c r="B89" s="485"/>
      <c r="C89" s="485"/>
      <c r="D89" s="485"/>
      <c r="E89" s="485"/>
      <c r="F89" s="485"/>
      <c r="G89" s="485"/>
      <c r="H89" s="486"/>
    </row>
    <row r="90" spans="1:9">
      <c r="A90" s="468" t="s">
        <v>0</v>
      </c>
      <c r="B90" s="345">
        <v>1</v>
      </c>
      <c r="C90" s="346">
        <f>B90+0.05</f>
        <v>1.05</v>
      </c>
      <c r="D90" s="346">
        <f t="shared" ref="D90:G90" si="37">C90+0.05</f>
        <v>1.1000000000000001</v>
      </c>
      <c r="E90" s="346">
        <f t="shared" si="37"/>
        <v>1.1500000000000001</v>
      </c>
      <c r="F90" s="346">
        <f t="shared" si="37"/>
        <v>1.2000000000000002</v>
      </c>
      <c r="G90" s="346">
        <f t="shared" si="37"/>
        <v>1.2500000000000002</v>
      </c>
      <c r="H90" s="346">
        <f>G90+0.05</f>
        <v>1.3000000000000003</v>
      </c>
    </row>
    <row r="91" spans="1:9">
      <c r="A91" s="469"/>
      <c r="B91" s="311" t="s">
        <v>2</v>
      </c>
      <c r="C91" s="311" t="s">
        <v>3</v>
      </c>
      <c r="D91" s="311" t="s">
        <v>4</v>
      </c>
      <c r="E91" s="311" t="s">
        <v>5</v>
      </c>
      <c r="F91" s="311" t="s">
        <v>6</v>
      </c>
      <c r="G91" s="311" t="s">
        <v>171</v>
      </c>
      <c r="H91" s="311" t="s">
        <v>170</v>
      </c>
    </row>
    <row r="92" spans="1:9" s="13" customFormat="1">
      <c r="A92" s="10" t="str">
        <f t="shared" ref="A92:A112" si="38">A67</f>
        <v>Soybean</v>
      </c>
      <c r="B92" s="10">
        <f t="shared" ref="B92:B100" si="39">D14*$B$90</f>
        <v>0</v>
      </c>
      <c r="C92" s="308">
        <f t="shared" ref="C92:H92" si="40">(B92/B$90)*C$90</f>
        <v>0</v>
      </c>
      <c r="D92" s="308">
        <f t="shared" si="40"/>
        <v>0</v>
      </c>
      <c r="E92" s="308">
        <f t="shared" si="40"/>
        <v>0</v>
      </c>
      <c r="F92" s="308">
        <f t="shared" si="40"/>
        <v>0</v>
      </c>
      <c r="G92" s="308">
        <f t="shared" si="40"/>
        <v>0</v>
      </c>
      <c r="H92" s="308">
        <f t="shared" si="40"/>
        <v>0</v>
      </c>
    </row>
    <row r="93" spans="1:9">
      <c r="A93" s="10" t="str">
        <f t="shared" si="38"/>
        <v>Red Gram/Tur</v>
      </c>
      <c r="B93" s="10">
        <f t="shared" si="39"/>
        <v>0</v>
      </c>
      <c r="C93" s="308">
        <f t="shared" ref="C93:C113" si="41">(B93/B$90)*C$90</f>
        <v>0</v>
      </c>
      <c r="D93" s="308">
        <f>(C93/C90)*D90</f>
        <v>0</v>
      </c>
      <c r="E93" s="308">
        <f t="shared" ref="E93:G93" si="42">(D93/D90)*E90</f>
        <v>0</v>
      </c>
      <c r="F93" s="308">
        <f t="shared" si="42"/>
        <v>0</v>
      </c>
      <c r="G93" s="308">
        <f t="shared" si="42"/>
        <v>0</v>
      </c>
      <c r="H93" s="308">
        <f>(G93/G90)*H90</f>
        <v>0</v>
      </c>
    </row>
    <row r="94" spans="1:9">
      <c r="A94" s="10" t="str">
        <f t="shared" si="38"/>
        <v>Paddy/Rice</v>
      </c>
      <c r="B94" s="10">
        <f t="shared" si="39"/>
        <v>4000</v>
      </c>
      <c r="C94" s="308">
        <f t="shared" si="41"/>
        <v>4200</v>
      </c>
      <c r="D94" s="308">
        <f t="shared" ref="D94:H103" si="43">(C94/C$90)*D$90</f>
        <v>4400</v>
      </c>
      <c r="E94" s="308">
        <f t="shared" si="43"/>
        <v>4600</v>
      </c>
      <c r="F94" s="308">
        <f t="shared" si="43"/>
        <v>4800</v>
      </c>
      <c r="G94" s="308">
        <f t="shared" si="43"/>
        <v>5000</v>
      </c>
      <c r="H94" s="308">
        <f t="shared" si="43"/>
        <v>5200</v>
      </c>
    </row>
    <row r="95" spans="1:9">
      <c r="A95" s="10" t="str">
        <f t="shared" si="38"/>
        <v>Green Gram/ Moong</v>
      </c>
      <c r="B95" s="10">
        <f t="shared" si="39"/>
        <v>0</v>
      </c>
      <c r="C95" s="308">
        <f t="shared" si="41"/>
        <v>0</v>
      </c>
      <c r="D95" s="308">
        <f t="shared" si="43"/>
        <v>0</v>
      </c>
      <c r="E95" s="308">
        <f t="shared" si="43"/>
        <v>0</v>
      </c>
      <c r="F95" s="308">
        <f t="shared" si="43"/>
        <v>0</v>
      </c>
      <c r="G95" s="308">
        <f t="shared" si="43"/>
        <v>0</v>
      </c>
      <c r="H95" s="308">
        <f t="shared" si="43"/>
        <v>0</v>
      </c>
    </row>
    <row r="96" spans="1:9">
      <c r="A96" s="10" t="str">
        <f t="shared" si="38"/>
        <v>Maize</v>
      </c>
      <c r="B96" s="308">
        <f t="shared" si="39"/>
        <v>0</v>
      </c>
      <c r="C96" s="308">
        <f t="shared" si="41"/>
        <v>0</v>
      </c>
      <c r="D96" s="308">
        <f t="shared" si="43"/>
        <v>0</v>
      </c>
      <c r="E96" s="308">
        <f t="shared" si="43"/>
        <v>0</v>
      </c>
      <c r="F96" s="308">
        <f t="shared" si="43"/>
        <v>0</v>
      </c>
      <c r="G96" s="308">
        <f t="shared" si="43"/>
        <v>0</v>
      </c>
      <c r="H96" s="308">
        <f t="shared" si="43"/>
        <v>0</v>
      </c>
    </row>
    <row r="97" spans="1:8">
      <c r="A97" s="10" t="str">
        <f t="shared" si="38"/>
        <v>Black Gram/Udid</v>
      </c>
      <c r="B97" s="10">
        <f t="shared" si="39"/>
        <v>0</v>
      </c>
      <c r="C97" s="308">
        <f t="shared" si="41"/>
        <v>0</v>
      </c>
      <c r="D97" s="308">
        <f t="shared" si="43"/>
        <v>0</v>
      </c>
      <c r="E97" s="308">
        <f t="shared" si="43"/>
        <v>0</v>
      </c>
      <c r="F97" s="308">
        <f t="shared" si="43"/>
        <v>0</v>
      </c>
      <c r="G97" s="308">
        <f t="shared" si="43"/>
        <v>0</v>
      </c>
      <c r="H97" s="308">
        <f t="shared" si="43"/>
        <v>0</v>
      </c>
    </row>
    <row r="98" spans="1:8">
      <c r="A98" s="10" t="str">
        <f t="shared" si="38"/>
        <v>Bajra</v>
      </c>
      <c r="B98" s="10">
        <f t="shared" si="39"/>
        <v>0</v>
      </c>
      <c r="C98" s="308">
        <f t="shared" si="41"/>
        <v>0</v>
      </c>
      <c r="D98" s="308">
        <f t="shared" si="43"/>
        <v>0</v>
      </c>
      <c r="E98" s="308">
        <f t="shared" si="43"/>
        <v>0</v>
      </c>
      <c r="F98" s="308">
        <f t="shared" si="43"/>
        <v>0</v>
      </c>
      <c r="G98" s="308">
        <f t="shared" si="43"/>
        <v>0</v>
      </c>
      <c r="H98" s="308">
        <f t="shared" si="43"/>
        <v>0</v>
      </c>
    </row>
    <row r="99" spans="1:8">
      <c r="A99" s="10" t="str">
        <f t="shared" si="38"/>
        <v>Jawar</v>
      </c>
      <c r="B99" s="10">
        <f t="shared" si="39"/>
        <v>0</v>
      </c>
      <c r="C99" s="308">
        <f t="shared" si="41"/>
        <v>0</v>
      </c>
      <c r="D99" s="308">
        <f t="shared" si="43"/>
        <v>0</v>
      </c>
      <c r="E99" s="308">
        <f t="shared" si="43"/>
        <v>0</v>
      </c>
      <c r="F99" s="308">
        <f t="shared" si="43"/>
        <v>0</v>
      </c>
      <c r="G99" s="308">
        <f t="shared" si="43"/>
        <v>0</v>
      </c>
      <c r="H99" s="308">
        <f t="shared" si="43"/>
        <v>0</v>
      </c>
    </row>
    <row r="100" spans="1:8">
      <c r="A100" s="10" t="str">
        <f t="shared" si="38"/>
        <v>Sunflower</v>
      </c>
      <c r="B100" s="10">
        <f t="shared" si="39"/>
        <v>0</v>
      </c>
      <c r="C100" s="308">
        <f t="shared" si="41"/>
        <v>0</v>
      </c>
      <c r="D100" s="308">
        <f t="shared" si="43"/>
        <v>0</v>
      </c>
      <c r="E100" s="308">
        <f t="shared" si="43"/>
        <v>0</v>
      </c>
      <c r="F100" s="308">
        <f t="shared" si="43"/>
        <v>0</v>
      </c>
      <c r="G100" s="308">
        <f t="shared" si="43"/>
        <v>0</v>
      </c>
      <c r="H100" s="308">
        <f t="shared" si="43"/>
        <v>0</v>
      </c>
    </row>
    <row r="101" spans="1:8">
      <c r="A101" s="10" t="str">
        <f t="shared" si="38"/>
        <v>Wheat</v>
      </c>
      <c r="B101" s="10">
        <f t="shared" ref="B101:B108" si="44">D24*$B$90</f>
        <v>0</v>
      </c>
      <c r="C101" s="308">
        <f t="shared" si="41"/>
        <v>0</v>
      </c>
      <c r="D101" s="308">
        <f t="shared" si="43"/>
        <v>0</v>
      </c>
      <c r="E101" s="308">
        <f t="shared" si="43"/>
        <v>0</v>
      </c>
      <c r="F101" s="308">
        <f t="shared" si="43"/>
        <v>0</v>
      </c>
      <c r="G101" s="308">
        <f t="shared" si="43"/>
        <v>0</v>
      </c>
      <c r="H101" s="308">
        <f t="shared" si="43"/>
        <v>0</v>
      </c>
    </row>
    <row r="102" spans="1:8">
      <c r="A102" s="10" t="str">
        <f t="shared" si="38"/>
        <v>Paddy/Rice</v>
      </c>
      <c r="B102" s="10">
        <f t="shared" si="44"/>
        <v>360</v>
      </c>
      <c r="C102" s="308">
        <f t="shared" si="41"/>
        <v>378</v>
      </c>
      <c r="D102" s="308">
        <f t="shared" si="43"/>
        <v>396.00000000000006</v>
      </c>
      <c r="E102" s="308">
        <f t="shared" si="43"/>
        <v>414.00000000000006</v>
      </c>
      <c r="F102" s="308">
        <f t="shared" si="43"/>
        <v>432.00000000000006</v>
      </c>
      <c r="G102" s="308">
        <f t="shared" si="43"/>
        <v>450.00000000000006</v>
      </c>
      <c r="H102" s="308">
        <f t="shared" si="43"/>
        <v>468.00000000000011</v>
      </c>
    </row>
    <row r="103" spans="1:8">
      <c r="A103" s="10" t="str">
        <f t="shared" si="38"/>
        <v>Jawar</v>
      </c>
      <c r="B103" s="10">
        <f t="shared" si="44"/>
        <v>0</v>
      </c>
      <c r="C103" s="308">
        <f t="shared" si="41"/>
        <v>0</v>
      </c>
      <c r="D103" s="308">
        <f t="shared" si="43"/>
        <v>0</v>
      </c>
      <c r="E103" s="308">
        <f t="shared" si="43"/>
        <v>0</v>
      </c>
      <c r="F103" s="308">
        <f t="shared" si="43"/>
        <v>0</v>
      </c>
      <c r="G103" s="308">
        <f t="shared" si="43"/>
        <v>0</v>
      </c>
      <c r="H103" s="308">
        <f t="shared" si="43"/>
        <v>0</v>
      </c>
    </row>
    <row r="104" spans="1:8">
      <c r="A104" s="10" t="str">
        <f t="shared" si="38"/>
        <v>Maize</v>
      </c>
      <c r="B104" s="10">
        <f t="shared" si="44"/>
        <v>0</v>
      </c>
      <c r="C104" s="308">
        <f t="shared" si="41"/>
        <v>0</v>
      </c>
      <c r="D104" s="308">
        <f t="shared" ref="D104:H113" si="45">(C104/C$90)*D$90</f>
        <v>0</v>
      </c>
      <c r="E104" s="308">
        <f t="shared" si="45"/>
        <v>0</v>
      </c>
      <c r="F104" s="308">
        <f t="shared" si="45"/>
        <v>0</v>
      </c>
      <c r="G104" s="308">
        <f t="shared" si="45"/>
        <v>0</v>
      </c>
      <c r="H104" s="308">
        <f t="shared" si="45"/>
        <v>0</v>
      </c>
    </row>
    <row r="105" spans="1:8">
      <c r="A105" s="10" t="str">
        <f t="shared" si="38"/>
        <v>Safflower</v>
      </c>
      <c r="B105" s="10">
        <f t="shared" si="44"/>
        <v>0</v>
      </c>
      <c r="C105" s="308">
        <f t="shared" si="41"/>
        <v>0</v>
      </c>
      <c r="D105" s="308">
        <f t="shared" si="45"/>
        <v>0</v>
      </c>
      <c r="E105" s="308">
        <f t="shared" si="45"/>
        <v>0</v>
      </c>
      <c r="F105" s="308">
        <f t="shared" si="45"/>
        <v>0</v>
      </c>
      <c r="G105" s="308">
        <f t="shared" si="45"/>
        <v>0</v>
      </c>
      <c r="H105" s="308">
        <f t="shared" si="45"/>
        <v>0</v>
      </c>
    </row>
    <row r="106" spans="1:8">
      <c r="A106" s="10">
        <f t="shared" si="38"/>
        <v>0</v>
      </c>
      <c r="B106" s="10">
        <f t="shared" si="44"/>
        <v>0</v>
      </c>
      <c r="C106" s="308">
        <f t="shared" si="41"/>
        <v>0</v>
      </c>
      <c r="D106" s="308">
        <f t="shared" si="45"/>
        <v>0</v>
      </c>
      <c r="E106" s="308">
        <f t="shared" si="45"/>
        <v>0</v>
      </c>
      <c r="F106" s="308">
        <f t="shared" si="45"/>
        <v>0</v>
      </c>
      <c r="G106" s="308">
        <f t="shared" si="45"/>
        <v>0</v>
      </c>
      <c r="H106" s="308">
        <f t="shared" si="45"/>
        <v>0</v>
      </c>
    </row>
    <row r="107" spans="1:8">
      <c r="A107" s="10">
        <f t="shared" si="38"/>
        <v>0</v>
      </c>
      <c r="B107" s="10">
        <f t="shared" si="44"/>
        <v>0</v>
      </c>
      <c r="C107" s="308">
        <f t="shared" si="41"/>
        <v>0</v>
      </c>
      <c r="D107" s="308">
        <f t="shared" si="45"/>
        <v>0</v>
      </c>
      <c r="E107" s="308">
        <f t="shared" si="45"/>
        <v>0</v>
      </c>
      <c r="F107" s="308">
        <f t="shared" si="45"/>
        <v>0</v>
      </c>
      <c r="G107" s="308">
        <f t="shared" si="45"/>
        <v>0</v>
      </c>
      <c r="H107" s="308">
        <f t="shared" si="45"/>
        <v>0</v>
      </c>
    </row>
    <row r="108" spans="1:8">
      <c r="A108" s="10">
        <f t="shared" si="38"/>
        <v>0</v>
      </c>
      <c r="B108" s="10">
        <f t="shared" si="44"/>
        <v>0</v>
      </c>
      <c r="C108" s="308">
        <f t="shared" si="41"/>
        <v>0</v>
      </c>
      <c r="D108" s="308">
        <f t="shared" si="45"/>
        <v>0</v>
      </c>
      <c r="E108" s="308">
        <f t="shared" si="45"/>
        <v>0</v>
      </c>
      <c r="F108" s="308">
        <f t="shared" si="45"/>
        <v>0</v>
      </c>
      <c r="G108" s="308">
        <f t="shared" si="45"/>
        <v>0</v>
      </c>
      <c r="H108" s="308">
        <f t="shared" si="45"/>
        <v>0</v>
      </c>
    </row>
    <row r="109" spans="1:8">
      <c r="A109" s="10" t="str">
        <f t="shared" si="38"/>
        <v>Groundnut</v>
      </c>
      <c r="B109" s="10">
        <f>D33*$B$90</f>
        <v>0</v>
      </c>
      <c r="C109" s="308">
        <f t="shared" si="41"/>
        <v>0</v>
      </c>
      <c r="D109" s="308">
        <f t="shared" si="45"/>
        <v>0</v>
      </c>
      <c r="E109" s="308">
        <f t="shared" si="45"/>
        <v>0</v>
      </c>
      <c r="F109" s="308">
        <f t="shared" si="45"/>
        <v>0</v>
      </c>
      <c r="G109" s="308">
        <f t="shared" si="45"/>
        <v>0</v>
      </c>
      <c r="H109" s="308">
        <f t="shared" si="45"/>
        <v>0</v>
      </c>
    </row>
    <row r="110" spans="1:8">
      <c r="A110" s="10">
        <f t="shared" si="38"/>
        <v>0</v>
      </c>
      <c r="B110" s="10">
        <f>D34*$B$90</f>
        <v>0</v>
      </c>
      <c r="C110" s="308">
        <f t="shared" si="41"/>
        <v>0</v>
      </c>
      <c r="D110" s="308">
        <f t="shared" si="45"/>
        <v>0</v>
      </c>
      <c r="E110" s="308">
        <f t="shared" si="45"/>
        <v>0</v>
      </c>
      <c r="F110" s="308">
        <f t="shared" si="45"/>
        <v>0</v>
      </c>
      <c r="G110" s="308">
        <f t="shared" si="45"/>
        <v>0</v>
      </c>
      <c r="H110" s="308">
        <f t="shared" si="45"/>
        <v>0</v>
      </c>
    </row>
    <row r="111" spans="1:8">
      <c r="A111" s="10">
        <f t="shared" si="38"/>
        <v>0</v>
      </c>
      <c r="B111" s="10">
        <f>D34*$B$90</f>
        <v>0</v>
      </c>
      <c r="C111" s="308">
        <f t="shared" si="41"/>
        <v>0</v>
      </c>
      <c r="D111" s="308">
        <f t="shared" si="45"/>
        <v>0</v>
      </c>
      <c r="E111" s="308">
        <f t="shared" si="45"/>
        <v>0</v>
      </c>
      <c r="F111" s="308">
        <f t="shared" si="45"/>
        <v>0</v>
      </c>
      <c r="G111" s="308">
        <f t="shared" si="45"/>
        <v>0</v>
      </c>
      <c r="H111" s="308">
        <f t="shared" si="45"/>
        <v>0</v>
      </c>
    </row>
    <row r="112" spans="1:8">
      <c r="A112" s="10">
        <f t="shared" si="38"/>
        <v>0</v>
      </c>
      <c r="B112" s="10">
        <f>D36*$B$90</f>
        <v>0</v>
      </c>
      <c r="C112" s="308">
        <f t="shared" si="41"/>
        <v>0</v>
      </c>
      <c r="D112" s="308">
        <f t="shared" si="45"/>
        <v>0</v>
      </c>
      <c r="E112" s="308">
        <f t="shared" si="45"/>
        <v>0</v>
      </c>
      <c r="F112" s="308">
        <f t="shared" si="45"/>
        <v>0</v>
      </c>
      <c r="G112" s="308">
        <f t="shared" si="45"/>
        <v>0</v>
      </c>
      <c r="H112" s="308">
        <f t="shared" si="45"/>
        <v>0</v>
      </c>
    </row>
    <row r="113" spans="1:9">
      <c r="A113" s="10"/>
      <c r="B113" s="10">
        <f>D37*$B$90</f>
        <v>0</v>
      </c>
      <c r="C113" s="308">
        <f t="shared" si="41"/>
        <v>0</v>
      </c>
      <c r="D113" s="308">
        <f t="shared" si="45"/>
        <v>0</v>
      </c>
      <c r="E113" s="308">
        <f t="shared" si="45"/>
        <v>0</v>
      </c>
      <c r="F113" s="308">
        <f t="shared" si="45"/>
        <v>0</v>
      </c>
      <c r="G113" s="308">
        <f t="shared" si="45"/>
        <v>0</v>
      </c>
      <c r="H113" s="308">
        <f t="shared" si="45"/>
        <v>0</v>
      </c>
    </row>
    <row r="115" spans="1:9">
      <c r="C115" s="4"/>
      <c r="D115" s="6"/>
      <c r="E115" s="6"/>
      <c r="F115" s="6"/>
      <c r="G115" s="6"/>
      <c r="H115" s="6"/>
      <c r="I115" s="6"/>
    </row>
    <row r="116" spans="1:9">
      <c r="A116" t="s">
        <v>560</v>
      </c>
      <c r="C116" s="309"/>
      <c r="D116" s="309"/>
      <c r="E116" s="309"/>
      <c r="F116" s="309"/>
      <c r="G116" s="309"/>
      <c r="H116" s="309"/>
      <c r="I116" s="309"/>
    </row>
    <row r="117" spans="1:9">
      <c r="A117">
        <v>1</v>
      </c>
      <c r="B117" t="s">
        <v>615</v>
      </c>
    </row>
    <row r="118" spans="1:9">
      <c r="A118">
        <v>2</v>
      </c>
      <c r="B118" t="s">
        <v>616</v>
      </c>
    </row>
    <row r="119" spans="1:9">
      <c r="A119">
        <v>3</v>
      </c>
      <c r="B119" t="s">
        <v>563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53" zoomScale="80" zoomScaleSheetLayoutView="80" workbookViewId="0">
      <selection activeCell="C269" sqref="C269"/>
    </sheetView>
  </sheetViews>
  <sheetFormatPr defaultRowHeight="14.5"/>
  <cols>
    <col min="1" max="1" width="41.1796875" bestFit="1" customWidth="1"/>
    <col min="2" max="2" width="4.453125" bestFit="1"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419" t="s">
        <v>610</v>
      </c>
      <c r="B2" s="419"/>
      <c r="C2" s="419"/>
      <c r="D2" s="419"/>
      <c r="E2" s="419"/>
      <c r="F2" s="419"/>
      <c r="G2" s="419"/>
      <c r="H2" s="419"/>
      <c r="I2" s="419"/>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567</v>
      </c>
      <c r="B7" s="99"/>
      <c r="C7" s="99"/>
      <c r="D7" s="99"/>
      <c r="E7" s="99"/>
      <c r="F7" s="99"/>
      <c r="G7" s="99"/>
      <c r="H7" s="99"/>
      <c r="I7" s="99"/>
    </row>
    <row r="8" spans="1:9">
      <c r="A8" s="101" t="s">
        <v>180</v>
      </c>
      <c r="B8" s="205"/>
      <c r="C8" s="258"/>
      <c r="D8" s="258"/>
      <c r="E8" s="258"/>
      <c r="F8" s="258"/>
      <c r="G8" s="258"/>
      <c r="H8" s="258"/>
      <c r="I8" s="258"/>
    </row>
    <row r="9" spans="1:9">
      <c r="A9" s="99" t="str">
        <f>'10.Grain Production details'!A92</f>
        <v>Soybean</v>
      </c>
      <c r="B9" s="205"/>
      <c r="C9" s="258">
        <f>'10.Grain Production details'!B92</f>
        <v>0</v>
      </c>
      <c r="D9" s="258">
        <f>'10.Grain Production details'!C92</f>
        <v>0</v>
      </c>
      <c r="E9" s="258">
        <f>'10.Grain Production details'!D92</f>
        <v>0</v>
      </c>
      <c r="F9" s="258">
        <f>'10.Grain Production details'!E92</f>
        <v>0</v>
      </c>
      <c r="G9" s="258">
        <f>'10.Grain Production details'!F92</f>
        <v>0</v>
      </c>
      <c r="H9" s="258">
        <f>'10.Grain Production details'!G92</f>
        <v>0</v>
      </c>
      <c r="I9" s="258">
        <f>'10.Grain Production details'!H92</f>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4000</v>
      </c>
      <c r="D11" s="258">
        <f>'10.Grain Production details'!C94</f>
        <v>4200</v>
      </c>
      <c r="E11" s="258">
        <f>'10.Grain Production details'!D94</f>
        <v>4400</v>
      </c>
      <c r="F11" s="258">
        <f>'10.Grain Production details'!E94</f>
        <v>4600</v>
      </c>
      <c r="G11" s="258">
        <f>'10.Grain Production details'!F94</f>
        <v>4800</v>
      </c>
      <c r="H11" s="258">
        <f>'10.Grain Production details'!G94</f>
        <v>5000</v>
      </c>
      <c r="I11" s="258">
        <f>'10.Grain Production details'!H94</f>
        <v>5200</v>
      </c>
    </row>
    <row r="12" spans="1:9">
      <c r="A12" s="99" t="str">
        <f>'10.Grain Production details'!A95</f>
        <v>Green Gram/ Moong</v>
      </c>
      <c r="B12" s="205"/>
      <c r="C12" s="258">
        <f>'10.Grain Production details'!B95</f>
        <v>0</v>
      </c>
      <c r="D12" s="258">
        <f>'10.Grain Production details'!C95</f>
        <v>0</v>
      </c>
      <c r="E12" s="258">
        <f>'10.Grain Production details'!D95</f>
        <v>0</v>
      </c>
      <c r="F12" s="258">
        <f>'10.Grain Production details'!E95</f>
        <v>0</v>
      </c>
      <c r="G12" s="258">
        <f>'10.Grain Production details'!F95</f>
        <v>0</v>
      </c>
      <c r="H12" s="258">
        <f>'10.Grain Production details'!G95</f>
        <v>0</v>
      </c>
      <c r="I12" s="258">
        <f>'10.Grain Production details'!H95</f>
        <v>0</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184</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Paddy/Rice</v>
      </c>
      <c r="B19" s="205"/>
      <c r="C19" s="258">
        <f>'10.Grain Production details'!B102</f>
        <v>360</v>
      </c>
      <c r="D19" s="258">
        <f>'10.Grain Production details'!C102</f>
        <v>378</v>
      </c>
      <c r="E19" s="258">
        <f>'10.Grain Production details'!D102</f>
        <v>396.00000000000006</v>
      </c>
      <c r="F19" s="258">
        <f>'10.Grain Production details'!E102</f>
        <v>414.00000000000006</v>
      </c>
      <c r="G19" s="258">
        <f>'10.Grain Production details'!F102</f>
        <v>432.00000000000006</v>
      </c>
      <c r="H19" s="258">
        <f>'10.Grain Production details'!G102</f>
        <v>450.00000000000006</v>
      </c>
      <c r="I19" s="258">
        <f>'10.Grain Production details'!H102</f>
        <v>468.00000000000011</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c r="C21" s="258">
        <f>'10.Grain Production details'!B104</f>
        <v>0</v>
      </c>
      <c r="D21" s="258">
        <f>'10.Grain Production details'!C104</f>
        <v>0</v>
      </c>
      <c r="E21" s="258">
        <f>'10.Grain Production details'!D104</f>
        <v>0</v>
      </c>
      <c r="F21" s="258">
        <f>'10.Grain Production details'!E104</f>
        <v>0</v>
      </c>
      <c r="G21" s="258">
        <f>'10.Grain Production details'!F104</f>
        <v>0</v>
      </c>
      <c r="H21" s="258">
        <f>'10.Grain Production details'!G104</f>
        <v>0</v>
      </c>
      <c r="I21" s="258">
        <f>'10.Grain Production details'!H104</f>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60000</v>
      </c>
      <c r="D64" s="206">
        <f t="shared" ref="D64:I64" si="3">$B$64*D11</f>
        <v>63000</v>
      </c>
      <c r="E64" s="206">
        <f t="shared" si="3"/>
        <v>66000</v>
      </c>
      <c r="F64" s="206">
        <f t="shared" si="3"/>
        <v>69000</v>
      </c>
      <c r="G64" s="206">
        <f t="shared" si="3"/>
        <v>72000</v>
      </c>
      <c r="H64" s="206">
        <f t="shared" si="3"/>
        <v>75000</v>
      </c>
      <c r="I64" s="206">
        <f t="shared" si="3"/>
        <v>78000</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Paddy/Rice</v>
      </c>
      <c r="B72" s="233">
        <v>25</v>
      </c>
      <c r="C72" s="206">
        <f t="shared" ref="C72:I72" si="8">$B72*C19</f>
        <v>9000</v>
      </c>
      <c r="D72" s="206">
        <f t="shared" si="8"/>
        <v>9450</v>
      </c>
      <c r="E72" s="206">
        <f t="shared" si="8"/>
        <v>9900.0000000000018</v>
      </c>
      <c r="F72" s="206">
        <f t="shared" si="8"/>
        <v>10350.000000000002</v>
      </c>
      <c r="G72" s="206">
        <f t="shared" si="8"/>
        <v>10800.000000000002</v>
      </c>
      <c r="H72" s="206">
        <f t="shared" si="8"/>
        <v>11250.000000000002</v>
      </c>
      <c r="I72" s="206">
        <f t="shared" si="8"/>
        <v>11700.000000000004</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187</v>
      </c>
      <c r="B113" s="99"/>
      <c r="C113" s="99"/>
      <c r="D113" s="99"/>
      <c r="E113" s="99"/>
      <c r="F113" s="99"/>
      <c r="G113" s="99"/>
      <c r="H113" s="99"/>
      <c r="I113" s="99"/>
    </row>
    <row r="114" spans="1:23">
      <c r="A114" s="99" t="s">
        <v>417</v>
      </c>
      <c r="B114" s="233">
        <v>90</v>
      </c>
      <c r="C114" s="206">
        <f>SUM(C62:C110)*$B$114</f>
        <v>6210000</v>
      </c>
      <c r="D114" s="206">
        <f t="shared" ref="D114:I114" si="46">SUM(D62:D110)*$B$114</f>
        <v>6520500</v>
      </c>
      <c r="E114" s="206">
        <f t="shared" si="46"/>
        <v>6831000</v>
      </c>
      <c r="F114" s="206">
        <f t="shared" si="46"/>
        <v>7141500</v>
      </c>
      <c r="G114" s="206">
        <f t="shared" si="46"/>
        <v>7452000</v>
      </c>
      <c r="H114" s="206">
        <f t="shared" si="46"/>
        <v>7762500</v>
      </c>
      <c r="I114" s="206">
        <f t="shared" si="46"/>
        <v>8073000</v>
      </c>
    </row>
    <row r="115" spans="1:23">
      <c r="A115" s="99" t="s">
        <v>181</v>
      </c>
      <c r="B115" s="233">
        <v>30</v>
      </c>
      <c r="C115" s="206">
        <f>SUM(C62:C110)*$B$115</f>
        <v>2070000</v>
      </c>
      <c r="D115" s="206">
        <f t="shared" ref="D115:I115" si="47">SUM(D62:D110)*$B$115</f>
        <v>2173500</v>
      </c>
      <c r="E115" s="206">
        <f t="shared" si="47"/>
        <v>2277000</v>
      </c>
      <c r="F115" s="206">
        <f t="shared" si="47"/>
        <v>2380500</v>
      </c>
      <c r="G115" s="206">
        <f t="shared" si="47"/>
        <v>2484000</v>
      </c>
      <c r="H115" s="206">
        <f t="shared" si="47"/>
        <v>2587500</v>
      </c>
      <c r="I115" s="206">
        <f t="shared" si="47"/>
        <v>2691000</v>
      </c>
    </row>
    <row r="116" spans="1:23">
      <c r="A116" s="99" t="s">
        <v>183</v>
      </c>
      <c r="B116" s="233">
        <v>30</v>
      </c>
      <c r="C116" s="206">
        <f>SUM(C62:C110)*$B$116</f>
        <v>2070000</v>
      </c>
      <c r="D116" s="206">
        <f t="shared" ref="D116:I116" si="48">SUM(D62:D110)*$B$116</f>
        <v>2173500</v>
      </c>
      <c r="E116" s="206">
        <f t="shared" si="48"/>
        <v>2277000</v>
      </c>
      <c r="F116" s="206">
        <f t="shared" si="48"/>
        <v>2380500</v>
      </c>
      <c r="G116" s="206">
        <f t="shared" si="48"/>
        <v>2484000</v>
      </c>
      <c r="H116" s="206">
        <f t="shared" si="48"/>
        <v>2587500</v>
      </c>
      <c r="I116" s="206">
        <f t="shared" si="48"/>
        <v>2691000</v>
      </c>
    </row>
    <row r="117" spans="1:23">
      <c r="A117" s="101" t="s">
        <v>182</v>
      </c>
      <c r="B117" s="233"/>
      <c r="C117" s="99"/>
      <c r="D117" s="99"/>
      <c r="E117" s="99"/>
      <c r="F117" s="99"/>
      <c r="G117" s="99"/>
      <c r="H117" s="99"/>
      <c r="I117" s="99"/>
    </row>
    <row r="118" spans="1:23">
      <c r="A118" s="99" t="s">
        <v>188</v>
      </c>
      <c r="B118" s="233">
        <v>0.2</v>
      </c>
      <c r="C118" s="206">
        <f>SUM(C62:C110)*$B$118</f>
        <v>13800</v>
      </c>
      <c r="D118" s="206">
        <f t="shared" ref="D118:I118" si="49">SUM(D62:D110)*$B$118</f>
        <v>14490</v>
      </c>
      <c r="E118" s="206">
        <f t="shared" si="49"/>
        <v>15180</v>
      </c>
      <c r="F118" s="206">
        <f t="shared" si="49"/>
        <v>15870</v>
      </c>
      <c r="G118" s="206">
        <f t="shared" si="49"/>
        <v>16560</v>
      </c>
      <c r="H118" s="206">
        <f t="shared" si="49"/>
        <v>17250</v>
      </c>
      <c r="I118" s="206">
        <f t="shared" si="49"/>
        <v>17940</v>
      </c>
    </row>
    <row r="119" spans="1:23">
      <c r="A119" s="99" t="s">
        <v>189</v>
      </c>
      <c r="B119" s="233">
        <v>0.5</v>
      </c>
      <c r="C119" s="206">
        <f>SUM(C62:C110)*$B$119</f>
        <v>34500</v>
      </c>
      <c r="D119" s="206">
        <f t="shared" ref="D119:I119" si="50">SUM(D62:D110)*$B$119</f>
        <v>36225</v>
      </c>
      <c r="E119" s="206">
        <f t="shared" si="50"/>
        <v>37950</v>
      </c>
      <c r="F119" s="206">
        <f t="shared" si="50"/>
        <v>39675</v>
      </c>
      <c r="G119" s="206">
        <f t="shared" si="50"/>
        <v>41400</v>
      </c>
      <c r="H119" s="206">
        <f t="shared" si="50"/>
        <v>43125</v>
      </c>
      <c r="I119" s="206">
        <f t="shared" si="50"/>
        <v>44850</v>
      </c>
    </row>
    <row r="122" spans="1:23" ht="17.5">
      <c r="A122" s="419" t="s">
        <v>611</v>
      </c>
      <c r="B122" s="419"/>
      <c r="C122" s="419"/>
      <c r="D122" s="419"/>
      <c r="E122" s="419"/>
      <c r="F122" s="419"/>
      <c r="G122" s="419"/>
      <c r="H122" s="419"/>
      <c r="I122" s="419"/>
      <c r="J122" s="419"/>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290</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3705000</v>
      </c>
      <c r="E132" s="96">
        <f>((D64*(1-'5.Closing Stock &amp; W Capital'!$D$15))+(C64*'5.Closing Stock &amp; W Capital'!$D$15))*$C$132*E$124</f>
        <v>4289512.5</v>
      </c>
      <c r="F132" s="96">
        <f>((E64*(1-'5.Closing Stock &amp; W Capital'!$D$15))+(D64*'5.Closing Stock &amp; W Capital'!$D$15))*$C$132*F$124</f>
        <v>4718975.625</v>
      </c>
      <c r="G132" s="96">
        <f>((F64*(1-'5.Closing Stock &amp; W Capital'!$D$15))+(E64*'5.Closing Stock &amp; W Capital'!$D$15))*$C$132*G124</f>
        <v>5180661.2812500009</v>
      </c>
      <c r="H132" s="96">
        <f>((G64*(1-'5.Closing Stock &amp; W Capital'!$D$15))+(F64*'5.Closing Stock &amp; W Capital'!$D$15))*$C$132*H124</f>
        <v>5676718.0640625013</v>
      </c>
      <c r="I132" s="96">
        <f>((H64*(1-'5.Closing Stock &amp; W Capital'!$D$15))+(G64*'5.Closing Stock &amp; W Capital'!$D$15))*$C$132*I124</f>
        <v>6209428.871953127</v>
      </c>
      <c r="J132" s="96">
        <f>((I64*(1-'5.Closing Stock &amp; W Capital'!$D$15))+(H64*'5.Closing Stock &amp; W Capital'!$D$15))*$C$132*J124</f>
        <v>6781218.9654726582</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Paddy/Rice</v>
      </c>
      <c r="B140" s="95"/>
      <c r="C140" s="257">
        <v>75</v>
      </c>
      <c r="D140" s="96">
        <f>(C72*(1-'5.Closing Stock &amp; W Capital'!$D$15))*$C$140*D$124</f>
        <v>641250</v>
      </c>
      <c r="E140" s="96">
        <f>((D72*(1-'5.Closing Stock &amp; W Capital'!$D$15))+(C72*'5.Closing Stock &amp; W Capital'!$D$15))*$C$140*E$124</f>
        <v>742415.625</v>
      </c>
      <c r="F140" s="96">
        <f>((E72*(1-'5.Closing Stock &amp; W Capital'!$D$15))+(D72*'5.Closing Stock &amp; W Capital'!$D$15))*$C$140*F$124</f>
        <v>816745.78125000012</v>
      </c>
      <c r="G140" s="96">
        <f>((F72*(1-'5.Closing Stock &amp; W Capital'!$D$15))+(E72*'5.Closing Stock &amp; W Capital'!$D$15))*$C$140*G$124</f>
        <v>896652.91406250023</v>
      </c>
      <c r="H140" s="96">
        <f>((G72*(1-'5.Closing Stock &amp; W Capital'!$D$15))+(F72*'5.Closing Stock &amp; W Capital'!$D$15))*$C$140*H$124</f>
        <v>982508.89570312528</v>
      </c>
      <c r="I140" s="96">
        <f>((H72*(1-'5.Closing Stock &amp; W Capital'!$D$15))+(G72*'5.Closing Stock &amp; W Capital'!$D$15))*$C$140*I$124</f>
        <v>1074708.8432226568</v>
      </c>
      <c r="J140" s="96">
        <f>((I72*(1-'5.Closing Stock &amp; W Capital'!$D$15))+(H72*'5.Closing Stock &amp; W Capital'!$D$15))*$C$140*J$124</f>
        <v>1173672.5132548835</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291</v>
      </c>
      <c r="B181" s="95"/>
      <c r="C181" s="96"/>
      <c r="D181" s="96"/>
      <c r="E181" s="96"/>
      <c r="F181" s="96"/>
      <c r="G181" s="96"/>
      <c r="H181" s="96"/>
      <c r="I181" s="96"/>
      <c r="J181" s="96"/>
      <c r="K181" s="94"/>
      <c r="U181" s="94"/>
      <c r="V181" s="94"/>
      <c r="W181" s="94"/>
    </row>
    <row r="182" spans="1:23">
      <c r="A182" s="95" t="s">
        <v>417</v>
      </c>
      <c r="B182" s="95"/>
      <c r="C182" s="257">
        <f>350/50</f>
        <v>7</v>
      </c>
      <c r="D182" s="96">
        <f>(C114*(1-'5.Closing Stock &amp; W Capital'!$D$15))*$C$182*D124</f>
        <v>41296500</v>
      </c>
      <c r="E182" s="96">
        <f>((D114*(1-'5.Closing Stock &amp; W Capital'!$D$15))+(C114*'5.Closing Stock &amp; W Capital'!$D$15))*$C$182*E124</f>
        <v>47811566.25</v>
      </c>
      <c r="F182" s="96">
        <f>((E114*(1-'5.Closing Stock &amp; W Capital'!$D$15))+(D114*'5.Closing Stock &amp; W Capital'!$D$15))*$C$182*F124</f>
        <v>52598428.3125</v>
      </c>
      <c r="G182" s="96">
        <f>((F114*(1-'5.Closing Stock &amp; W Capital'!$D$15))+(E114*'5.Closing Stock &amp; W Capital'!$D$15))*$C$182*G124</f>
        <v>57744447.665625006</v>
      </c>
      <c r="H182" s="96">
        <f>((G114*(1-'5.Closing Stock &amp; W Capital'!$D$15))+(F114*'5.Closing Stock &amp; W Capital'!$D$15))*$C$182*H124</f>
        <v>63273572.883281261</v>
      </c>
      <c r="I182" s="96">
        <f>((H114*(1-'5.Closing Stock &amp; W Capital'!$D$15))+(G114*'5.Closing Stock &amp; W Capital'!$D$15))*$C$182*I124</f>
        <v>69211249.503539085</v>
      </c>
      <c r="J182" s="96">
        <f>((I114*(1-'5.Closing Stock &amp; W Capital'!$D$15))+(H114*'5.Closing Stock &amp; W Capital'!$D$15))*$C$182*J124</f>
        <v>75584509.853614479</v>
      </c>
      <c r="K182" s="94"/>
      <c r="U182" s="94"/>
      <c r="V182" s="94"/>
      <c r="W182" s="94"/>
    </row>
    <row r="183" spans="1:23">
      <c r="A183" s="95" t="s">
        <v>181</v>
      </c>
      <c r="B183" s="95"/>
      <c r="C183" s="257">
        <v>8</v>
      </c>
      <c r="D183" s="96">
        <f>(C115*(1-'5.Closing Stock &amp; W Capital'!$D$15))*$C$183*D124</f>
        <v>15732000</v>
      </c>
      <c r="E183" s="96">
        <f>((D115*(1-'5.Closing Stock &amp; W Capital'!$D$15))+(C115*'5.Closing Stock &amp; W Capital'!$D$15))*$C$183*E124</f>
        <v>18213930</v>
      </c>
      <c r="F183" s="96">
        <f>((E115*(1-'5.Closing Stock &amp; W Capital'!$D$15))+(D115*'5.Closing Stock &amp; W Capital'!$D$15))*$C$183*F124</f>
        <v>20037496.5</v>
      </c>
      <c r="G183" s="96">
        <f>((F115*(1-'5.Closing Stock &amp; W Capital'!$D$15))+(E115*'5.Closing Stock &amp; W Capital'!$D$15))*$C$183*G124</f>
        <v>21997884.825000003</v>
      </c>
      <c r="H183" s="96">
        <f>((G115*(1-'5.Closing Stock &amp; W Capital'!$D$15))+(F115*'5.Closing Stock &amp; W Capital'!$D$15))*$C$183*H124</f>
        <v>24104218.241250005</v>
      </c>
      <c r="I183" s="96">
        <f>((H115*(1-'5.Closing Stock &amp; W Capital'!$D$15))+(G115*'5.Closing Stock &amp; W Capital'!$D$15))*$C$183*I124</f>
        <v>26366190.287062507</v>
      </c>
      <c r="J183" s="96">
        <f>((I115*(1-'5.Closing Stock &amp; W Capital'!$D$15))+(H115*'5.Closing Stock &amp; W Capital'!$D$15))*$C$183*J124</f>
        <v>28794098.991853133</v>
      </c>
      <c r="K183" s="94"/>
      <c r="U183" s="94"/>
      <c r="V183" s="94"/>
      <c r="W183" s="94"/>
    </row>
    <row r="184" spans="1:23">
      <c r="A184" s="95" t="s">
        <v>183</v>
      </c>
      <c r="B184" s="95"/>
      <c r="C184" s="257">
        <v>30</v>
      </c>
      <c r="D184" s="96">
        <f>(C116*(1-'5.Closing Stock &amp; W Capital'!$D$15))*$C$184*D124</f>
        <v>58995000</v>
      </c>
      <c r="E184" s="96">
        <f>((D116*(1-'5.Closing Stock &amp; W Capital'!$D$15))+(C116*'5.Closing Stock &amp; W Capital'!$D$15))*$C$184*E124</f>
        <v>68302237.5</v>
      </c>
      <c r="F184" s="96">
        <f>((E116*(1-'5.Closing Stock &amp; W Capital'!$D$15))+(D116*'5.Closing Stock &amp; W Capital'!$D$15))*$C$184*F124</f>
        <v>75140611.875</v>
      </c>
      <c r="G184" s="96">
        <f>((F116*(1-'5.Closing Stock &amp; W Capital'!$D$15))+(E116*'5.Closing Stock &amp; W Capital'!$D$15))*$C$184*G124</f>
        <v>82492068.093750015</v>
      </c>
      <c r="H184" s="96">
        <f>((G116*(1-'5.Closing Stock &amp; W Capital'!$D$15))+(F116*'5.Closing Stock &amp; W Capital'!$D$15))*$C$184*H124</f>
        <v>90390818.404687524</v>
      </c>
      <c r="I184" s="96">
        <f>((H116*(1-'5.Closing Stock &amp; W Capital'!$D$15))+(G116*'5.Closing Stock &amp; W Capital'!$D$15))*$C$184*I124</f>
        <v>98873213.576484397</v>
      </c>
      <c r="J184" s="96">
        <f>((I116*(1-'5.Closing Stock &amp; W Capital'!$D$15))+(H116*'5.Closing Stock &amp; W Capital'!$D$15))*$C$184*J124</f>
        <v>107977871.21944925</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7">
        <v>3000</v>
      </c>
      <c r="D187" s="96">
        <f>(C118*(1-'5.Closing Stock &amp; W Capital'!$D$15))*$C$187*D124</f>
        <v>39330000</v>
      </c>
      <c r="E187" s="96">
        <f>((D118*(1-'5.Closing Stock &amp; W Capital'!$D$15))+(C118*'5.Closing Stock &amp; W Capital'!$D$15))*$C$187*E124</f>
        <v>45534825</v>
      </c>
      <c r="F187" s="96">
        <f>((E118*(1-'5.Closing Stock &amp; W Capital'!$D$15))+(D118*'5.Closing Stock &amp; W Capital'!$D$15))*$C$187*F124</f>
        <v>50093741.25</v>
      </c>
      <c r="G187" s="96">
        <f>((F118*(1-'5.Closing Stock &amp; W Capital'!$D$15))+(E118*'5.Closing Stock &amp; W Capital'!$D$15))*$C$187*G124</f>
        <v>54994712.062500007</v>
      </c>
      <c r="H187" s="96">
        <f>((G118*(1-'5.Closing Stock &amp; W Capital'!$D$15))+(F118*'5.Closing Stock &amp; W Capital'!$D$15))*$C$187*H124</f>
        <v>60260545.603125013</v>
      </c>
      <c r="I187" s="96">
        <f>((H118*(1-'5.Closing Stock &amp; W Capital'!$D$15))+(G118*'5.Closing Stock &amp; W Capital'!$D$15))*$C$187*I124</f>
        <v>65915475.71765627</v>
      </c>
      <c r="J187" s="96">
        <f>((I118*(1-'5.Closing Stock &amp; W Capital'!$D$15))+(H118*'5.Closing Stock &amp; W Capital'!$D$15))*$C$187*J124</f>
        <v>71985247.47963284</v>
      </c>
      <c r="K187" s="94"/>
      <c r="U187" s="207"/>
      <c r="V187" s="207"/>
      <c r="W187" s="207"/>
    </row>
    <row r="188" spans="1:23">
      <c r="A188" s="95" t="s">
        <v>189</v>
      </c>
      <c r="B188" s="95"/>
      <c r="C188" s="257">
        <v>2200</v>
      </c>
      <c r="D188" s="96">
        <f>(C119*(1-'5.Closing Stock &amp; W Capital'!$D$15))*$C$188*D124</f>
        <v>72105000</v>
      </c>
      <c r="E188" s="96">
        <f>((D119*(1-'5.Closing Stock &amp; W Capital'!$D$15))+(C119*'5.Closing Stock &amp; W Capital'!$D$15))*$C$188*E124</f>
        <v>83480512.5</v>
      </c>
      <c r="F188" s="96">
        <f>((E119*(1-'5.Closing Stock &amp; W Capital'!$D$15))+(D119*'5.Closing Stock &amp; W Capital'!$D$15))*$C$188*F124</f>
        <v>91838525.625</v>
      </c>
      <c r="G188" s="96">
        <f>((F119*(1-'5.Closing Stock &amp; W Capital'!$D$15))+(E119*'5.Closing Stock &amp; W Capital'!$D$15))*$C$188*G124</f>
        <v>100823638.78125001</v>
      </c>
      <c r="H188" s="96">
        <f>((G119*(1-'5.Closing Stock &amp; W Capital'!$D$15))+(F119*'5.Closing Stock &amp; W Capital'!$D$15))*$C$188*H124</f>
        <v>110477666.93906252</v>
      </c>
      <c r="I188" s="96">
        <f>((H119*(1-'5.Closing Stock &amp; W Capital'!$D$15))+(G119*'5.Closing Stock &amp; W Capital'!$D$15))*$C$188*I124</f>
        <v>120845038.81570315</v>
      </c>
      <c r="J188" s="96">
        <f>((I119*(1-'5.Closing Stock &amp; W Capital'!$D$15))+(H119*'5.Closing Stock &amp; W Capital'!$D$15))*$C$188*J124</f>
        <v>131972953.71266019</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231804750</v>
      </c>
      <c r="E191" s="115">
        <f t="shared" si="54"/>
        <v>268374999.375</v>
      </c>
      <c r="F191" s="115">
        <f t="shared" si="54"/>
        <v>295244524.96875</v>
      </c>
      <c r="G191" s="115">
        <f t="shared" si="54"/>
        <v>324130065.62343752</v>
      </c>
      <c r="H191" s="115">
        <f t="shared" si="54"/>
        <v>355166049.03117192</v>
      </c>
      <c r="I191" s="115">
        <f t="shared" si="54"/>
        <v>388495305.61562121</v>
      </c>
      <c r="J191" s="115">
        <f t="shared" si="54"/>
        <v>424269572.73593748</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316</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45</v>
      </c>
      <c r="D199" s="96">
        <f t="shared" si="56"/>
        <v>2700000</v>
      </c>
      <c r="E199" s="96">
        <f t="shared" si="56"/>
        <v>2976750</v>
      </c>
      <c r="F199" s="96">
        <f t="shared" si="56"/>
        <v>3274425</v>
      </c>
      <c r="G199" s="96">
        <f t="shared" si="56"/>
        <v>3594425.6250000005</v>
      </c>
      <c r="H199" s="96">
        <f t="shared" si="56"/>
        <v>3938240.2500000009</v>
      </c>
      <c r="I199" s="96">
        <f t="shared" si="56"/>
        <v>4307450.2734375009</v>
      </c>
      <c r="J199" s="96">
        <f t="shared" si="56"/>
        <v>4703735.6985937515</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Paddy/Rice</v>
      </c>
      <c r="B207" s="95"/>
      <c r="C207" s="257">
        <v>60</v>
      </c>
      <c r="D207" s="96">
        <f t="shared" ref="D207:J216" si="57">C72*$C207*D$124</f>
        <v>540000</v>
      </c>
      <c r="E207" s="96">
        <f t="shared" si="57"/>
        <v>595350</v>
      </c>
      <c r="F207" s="96">
        <f t="shared" si="57"/>
        <v>654885.00000000012</v>
      </c>
      <c r="G207" s="96">
        <f t="shared" si="57"/>
        <v>718885.12500000023</v>
      </c>
      <c r="H207" s="96">
        <f t="shared" si="57"/>
        <v>787648.05000000028</v>
      </c>
      <c r="I207" s="96">
        <f t="shared" si="57"/>
        <v>861490.05468750035</v>
      </c>
      <c r="J207" s="96">
        <f t="shared" si="57"/>
        <v>940747.13971875061</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37260000</v>
      </c>
      <c r="E245" s="96">
        <f t="shared" si="62"/>
        <v>41079150</v>
      </c>
      <c r="F245" s="96">
        <f t="shared" si="62"/>
        <v>45187065</v>
      </c>
      <c r="G245" s="96">
        <f t="shared" si="62"/>
        <v>49603073.625000007</v>
      </c>
      <c r="H245" s="96">
        <f t="shared" si="62"/>
        <v>54347715.45000001</v>
      </c>
      <c r="I245" s="96">
        <f t="shared" si="62"/>
        <v>59442813.773437515</v>
      </c>
      <c r="J245" s="96">
        <f t="shared" si="62"/>
        <v>64911552.640593767</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10350000</v>
      </c>
      <c r="E246" s="96">
        <f t="shared" si="63"/>
        <v>11410875</v>
      </c>
      <c r="F246" s="96">
        <f t="shared" si="63"/>
        <v>12551962.5</v>
      </c>
      <c r="G246" s="96">
        <f t="shared" si="63"/>
        <v>13778631.562500002</v>
      </c>
      <c r="H246" s="96">
        <f t="shared" si="63"/>
        <v>15096587.625000004</v>
      </c>
      <c r="I246" s="96">
        <f t="shared" si="63"/>
        <v>16511892.714843754</v>
      </c>
      <c r="J246" s="96">
        <f t="shared" si="63"/>
        <v>18030986.84460938</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55890000</v>
      </c>
      <c r="E247" s="96">
        <f t="shared" si="64"/>
        <v>61618725</v>
      </c>
      <c r="F247" s="96">
        <f t="shared" si="64"/>
        <v>67780597.5</v>
      </c>
      <c r="G247" s="96">
        <f t="shared" si="64"/>
        <v>74404610.437500015</v>
      </c>
      <c r="H247" s="96">
        <f t="shared" si="64"/>
        <v>81521573.175000012</v>
      </c>
      <c r="I247" s="96">
        <f t="shared" si="64"/>
        <v>89164220.66015628</v>
      </c>
      <c r="J247" s="96">
        <f t="shared" si="64"/>
        <v>97367328.960890651</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38640000</v>
      </c>
      <c r="E250" s="96">
        <f t="shared" si="65"/>
        <v>42600600</v>
      </c>
      <c r="F250" s="96">
        <f t="shared" si="65"/>
        <v>46860660</v>
      </c>
      <c r="G250" s="96">
        <f t="shared" si="65"/>
        <v>51440224.500000007</v>
      </c>
      <c r="H250" s="96">
        <f t="shared" si="65"/>
        <v>56360593.800000012</v>
      </c>
      <c r="I250" s="96">
        <f t="shared" si="65"/>
        <v>61644399.468750015</v>
      </c>
      <c r="J250" s="96">
        <f t="shared" si="65"/>
        <v>67315684.219875023</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69000000</v>
      </c>
      <c r="E251" s="96">
        <f t="shared" si="66"/>
        <v>76072500</v>
      </c>
      <c r="F251" s="96">
        <f t="shared" si="66"/>
        <v>83679750</v>
      </c>
      <c r="G251" s="96">
        <f t="shared" si="66"/>
        <v>91857543.750000015</v>
      </c>
      <c r="H251" s="96">
        <f t="shared" si="66"/>
        <v>100643917.50000001</v>
      </c>
      <c r="I251" s="96">
        <f t="shared" si="66"/>
        <v>110079284.76562503</v>
      </c>
      <c r="J251" s="96">
        <f t="shared" si="66"/>
        <v>120206578.96406254</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295</v>
      </c>
      <c r="B253" s="95"/>
      <c r="C253" s="257">
        <v>10</v>
      </c>
      <c r="D253" s="96">
        <f t="shared" ref="D253:J253" si="67">(SUM(C63:C119)/50)*$C$253*D124</f>
        <v>2093460</v>
      </c>
      <c r="E253" s="96">
        <f t="shared" si="67"/>
        <v>2308039.65</v>
      </c>
      <c r="F253" s="96">
        <f t="shared" si="67"/>
        <v>2538843.6150000002</v>
      </c>
      <c r="G253" s="96">
        <f t="shared" si="67"/>
        <v>2786957.8773750002</v>
      </c>
      <c r="H253" s="96">
        <f t="shared" si="67"/>
        <v>3053536.4569500005</v>
      </c>
      <c r="I253" s="96">
        <f t="shared" si="67"/>
        <v>3339805.4997890634</v>
      </c>
      <c r="J253" s="96">
        <f t="shared" si="67"/>
        <v>3647067.6057696575</v>
      </c>
      <c r="K253" s="94"/>
      <c r="L253" s="94"/>
      <c r="M253" s="94"/>
      <c r="N253" s="94"/>
      <c r="O253" s="94"/>
      <c r="P253" s="94"/>
      <c r="Q253" s="94"/>
      <c r="R253" s="94"/>
      <c r="S253" s="94"/>
      <c r="T253" s="94"/>
      <c r="U253" s="94"/>
      <c r="V253" s="94"/>
      <c r="W253" s="94"/>
    </row>
    <row r="254" spans="1:23">
      <c r="A254" s="95" t="s">
        <v>174</v>
      </c>
      <c r="B254" s="95"/>
      <c r="C254" s="257">
        <v>100</v>
      </c>
      <c r="D254" s="96">
        <f t="shared" ref="D254:J254" si="68">(SUM(C63:C119)/50)*$C$254*D124</f>
        <v>20934600</v>
      </c>
      <c r="E254" s="96">
        <f t="shared" si="68"/>
        <v>23080396.5</v>
      </c>
      <c r="F254" s="96">
        <f t="shared" si="68"/>
        <v>25388436.150000002</v>
      </c>
      <c r="G254" s="96">
        <f t="shared" si="68"/>
        <v>27869578.773750003</v>
      </c>
      <c r="H254" s="96">
        <f t="shared" si="68"/>
        <v>30535364.569500007</v>
      </c>
      <c r="I254" s="96">
        <f t="shared" si="68"/>
        <v>33398054.997890633</v>
      </c>
      <c r="J254" s="96">
        <f t="shared" si="68"/>
        <v>36470676.057696573</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349</v>
      </c>
      <c r="B259" s="95"/>
      <c r="C259" s="96"/>
      <c r="D259" s="208"/>
      <c r="E259" s="96">
        <f>'5.Closing Stock &amp; W Capital'!F6</f>
        <v>10719000</v>
      </c>
      <c r="F259" s="96">
        <f>'5.Closing Stock &amp; W Capital'!G6</f>
        <v>11817697.5</v>
      </c>
      <c r="G259" s="96">
        <f>'5.Closing Stock &amp; W Capital'!H6</f>
        <v>12999467.25</v>
      </c>
      <c r="H259" s="96">
        <f>'5.Closing Stock &amp; W Capital'!I6</f>
        <v>14269869.731250003</v>
      </c>
      <c r="I259" s="96">
        <f>'5.Closing Stock &amp; W Capital'!J6</f>
        <v>15634813.792500002</v>
      </c>
      <c r="J259" s="96">
        <f>'5.Closing Stock &amp; W Capital'!K6</f>
        <v>17100577.585546881</v>
      </c>
      <c r="K259" s="94"/>
      <c r="L259" s="94"/>
      <c r="M259" s="94"/>
      <c r="N259" s="94"/>
      <c r="O259" s="94"/>
      <c r="P259" s="94"/>
      <c r="Q259" s="94"/>
      <c r="R259" s="94"/>
      <c r="S259" s="94"/>
      <c r="T259" s="94"/>
      <c r="U259" s="94"/>
      <c r="V259" s="94"/>
      <c r="W259" s="94"/>
    </row>
    <row r="260" spans="1:23">
      <c r="A260" s="99" t="s">
        <v>350</v>
      </c>
      <c r="B260" s="95"/>
      <c r="C260" s="95"/>
      <c r="D260" s="208">
        <f>'5.Closing Stock &amp; W Capital'!E15</f>
        <v>10719000</v>
      </c>
      <c r="E260" s="96">
        <f>'5.Closing Stock &amp; W Capital'!F15</f>
        <v>11817697.5</v>
      </c>
      <c r="F260" s="96">
        <f>'5.Closing Stock &amp; W Capital'!G15</f>
        <v>12999467.25</v>
      </c>
      <c r="G260" s="96">
        <f>'5.Closing Stock &amp; W Capital'!H15</f>
        <v>14269869.731250003</v>
      </c>
      <c r="H260" s="96">
        <f>'5.Closing Stock &amp; W Capital'!I15</f>
        <v>15634813.792500002</v>
      </c>
      <c r="I260" s="96">
        <f>'5.Closing Stock &amp; W Capital'!J15</f>
        <v>17100577.585546881</v>
      </c>
      <c r="J260" s="96">
        <f>'5.Closing Stock &amp; W Capital'!K15</f>
        <v>18673830.723417193</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327</v>
      </c>
      <c r="B262" s="97"/>
      <c r="C262" s="115"/>
      <c r="D262" s="115">
        <f>SUM(D197:D258)+D259-D260</f>
        <v>226689060</v>
      </c>
      <c r="E262" s="115">
        <f t="shared" ref="E262:J262" si="69">SUM(E197:E258)+E259-E260</f>
        <v>260643688.64999998</v>
      </c>
      <c r="F262" s="115">
        <f t="shared" si="69"/>
        <v>286734855.01499999</v>
      </c>
      <c r="G262" s="115">
        <f t="shared" si="69"/>
        <v>314783528.79487509</v>
      </c>
      <c r="H262" s="115">
        <f t="shared" si="69"/>
        <v>344920232.81520003</v>
      </c>
      <c r="I262" s="115">
        <f t="shared" si="69"/>
        <v>377283648.4155705</v>
      </c>
      <c r="J262" s="115">
        <f t="shared" si="69"/>
        <v>412021104.99393976</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314</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332</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333</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195</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334</v>
      </c>
      <c r="B268" s="95">
        <v>12</v>
      </c>
      <c r="C268" s="257">
        <v>80000</v>
      </c>
      <c r="D268" s="96">
        <f t="shared" ref="D268:J268" si="73">$B$268*$C$268*D124</f>
        <v>960000</v>
      </c>
      <c r="E268" s="96">
        <f t="shared" si="73"/>
        <v>1008000</v>
      </c>
      <c r="F268" s="96">
        <f t="shared" si="73"/>
        <v>1058400</v>
      </c>
      <c r="G268" s="96">
        <f t="shared" si="73"/>
        <v>1111320.0000000002</v>
      </c>
      <c r="H268" s="96">
        <f t="shared" si="73"/>
        <v>1166886.0000000002</v>
      </c>
      <c r="I268" s="96">
        <f t="shared" si="73"/>
        <v>1225230.3000000003</v>
      </c>
      <c r="J268" s="96">
        <f t="shared" si="73"/>
        <v>1286491.8150000004</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331</v>
      </c>
      <c r="B273" s="97"/>
      <c r="C273" s="115"/>
      <c r="D273" s="115">
        <f>SUM(D265:D272)</f>
        <v>960000</v>
      </c>
      <c r="E273" s="115">
        <f t="shared" ref="E273:J273" si="74">SUM(E265:E272)</f>
        <v>1008000</v>
      </c>
      <c r="F273" s="115">
        <f t="shared" si="74"/>
        <v>1058400</v>
      </c>
      <c r="G273" s="115">
        <f t="shared" si="74"/>
        <v>1111320.0000000002</v>
      </c>
      <c r="H273" s="115">
        <f t="shared" si="74"/>
        <v>1166886.0000000002</v>
      </c>
      <c r="I273" s="115">
        <f t="shared" si="74"/>
        <v>1225230.3000000003</v>
      </c>
      <c r="J273" s="115">
        <f t="shared" si="74"/>
        <v>1286491.8150000004</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227649060</v>
      </c>
      <c r="E274" s="115">
        <f t="shared" si="75"/>
        <v>261651688.64999998</v>
      </c>
      <c r="F274" s="115">
        <f t="shared" si="75"/>
        <v>287793255.01499999</v>
      </c>
      <c r="G274" s="115">
        <f t="shared" si="75"/>
        <v>315894848.79487509</v>
      </c>
      <c r="H274" s="115">
        <f t="shared" si="75"/>
        <v>346087118.81520003</v>
      </c>
      <c r="I274" s="115">
        <f t="shared" si="75"/>
        <v>378508878.71557051</v>
      </c>
      <c r="J274" s="115">
        <f t="shared" si="75"/>
        <v>413307596.80893975</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4155690</v>
      </c>
      <c r="E276" s="115">
        <f t="shared" si="76"/>
        <v>6723310.7250000238</v>
      </c>
      <c r="F276" s="115">
        <f t="shared" si="76"/>
        <v>7451269.9537500143</v>
      </c>
      <c r="G276" s="115">
        <f t="shared" si="76"/>
        <v>8235216.8285624385</v>
      </c>
      <c r="H276" s="115">
        <f t="shared" si="76"/>
        <v>9078930.2159718871</v>
      </c>
      <c r="I276" s="115">
        <f t="shared" si="76"/>
        <v>9986426.9000506997</v>
      </c>
      <c r="J276" s="115">
        <f t="shared" si="76"/>
        <v>10961975.926997721</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20" t="s">
        <v>430</v>
      </c>
      <c r="B279" s="420"/>
      <c r="C279" s="420"/>
      <c r="D279" s="420"/>
      <c r="E279" s="420"/>
      <c r="F279" s="420"/>
      <c r="G279" s="420"/>
      <c r="H279" s="420"/>
      <c r="I279" s="420"/>
      <c r="J279" s="420"/>
    </row>
    <row r="281" spans="1:23">
      <c r="A281" t="s">
        <v>551</v>
      </c>
    </row>
    <row r="282" spans="1:23">
      <c r="A282">
        <v>1</v>
      </c>
      <c r="B282" t="s">
        <v>564</v>
      </c>
    </row>
    <row r="283" spans="1:23">
      <c r="A283">
        <v>2</v>
      </c>
      <c r="B283" t="s">
        <v>565</v>
      </c>
    </row>
    <row r="284" spans="1:23">
      <c r="A284">
        <v>3</v>
      </c>
      <c r="B284" s="94" t="s">
        <v>617</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13" zoomScale="80" zoomScaleSheetLayoutView="80" workbookViewId="0">
      <selection activeCell="M43" sqref="M43"/>
    </sheetView>
  </sheetViews>
  <sheetFormatPr defaultRowHeight="14.5"/>
  <cols>
    <col min="2" max="2" width="32.7265625" bestFit="1" customWidth="1"/>
    <col min="3" max="3" width="17.81640625" bestFit="1" customWidth="1"/>
    <col min="4" max="5" width="14.81640625"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2" ht="17.5">
      <c r="B5" s="435" t="s">
        <v>581</v>
      </c>
      <c r="C5" s="435"/>
      <c r="D5" s="435"/>
      <c r="E5" s="435"/>
      <c r="F5" s="435"/>
      <c r="G5" s="435"/>
      <c r="H5" s="435"/>
      <c r="I5" s="435"/>
      <c r="J5" s="435"/>
    </row>
    <row r="6" spans="2:12" ht="16.5">
      <c r="B6" s="8"/>
      <c r="C6" s="8"/>
      <c r="D6" s="8"/>
      <c r="E6" s="8"/>
      <c r="F6" s="8"/>
      <c r="G6" s="8"/>
      <c r="H6" s="8"/>
      <c r="I6" s="8"/>
      <c r="J6" s="8"/>
    </row>
    <row r="7" spans="2:12" ht="15.5">
      <c r="B7" s="86" t="s">
        <v>29</v>
      </c>
      <c r="C7" s="87" t="s">
        <v>343</v>
      </c>
      <c r="D7" s="87" t="s">
        <v>2</v>
      </c>
      <c r="E7" s="87" t="s">
        <v>3</v>
      </c>
      <c r="F7" s="87" t="s">
        <v>4</v>
      </c>
      <c r="G7" s="87" t="s">
        <v>5</v>
      </c>
      <c r="H7" s="87" t="s">
        <v>6</v>
      </c>
      <c r="I7" s="87" t="s">
        <v>171</v>
      </c>
      <c r="J7" s="87" t="s">
        <v>170</v>
      </c>
      <c r="L7" s="382"/>
    </row>
    <row r="8" spans="2:12">
      <c r="B8" s="88"/>
      <c r="C8" s="88"/>
      <c r="D8" s="88"/>
      <c r="E8" s="88"/>
      <c r="F8" s="88"/>
      <c r="G8" s="88"/>
      <c r="H8" s="88"/>
      <c r="I8" s="88"/>
      <c r="J8" s="88"/>
    </row>
    <row r="9" spans="2:12">
      <c r="B9" s="88" t="s">
        <v>30</v>
      </c>
      <c r="C9" s="88"/>
      <c r="D9" s="89">
        <f>'6.Cons Profit &amp; Loss'!B51</f>
        <v>2906887.7262012898</v>
      </c>
      <c r="E9" s="89">
        <f>'6.Cons Profit &amp; Loss'!C51</f>
        <v>4259390.3764844211</v>
      </c>
      <c r="F9" s="89">
        <f>'6.Cons Profit &amp; Loss'!D51</f>
        <v>4626042.142498442</v>
      </c>
      <c r="G9" s="89">
        <f>'6.Cons Profit &amp; Loss'!E51</f>
        <v>5038787.8866788102</v>
      </c>
      <c r="H9" s="89">
        <f>'6.Cons Profit &amp; Loss'!F51</f>
        <v>5497236.7503853422</v>
      </c>
      <c r="I9" s="89">
        <f>'6.Cons Profit &amp; Loss'!G51</f>
        <v>6131383.4757900909</v>
      </c>
      <c r="J9" s="89">
        <f>'6.Cons Profit &amp; Loss'!H51</f>
        <v>6683352.1340666246</v>
      </c>
    </row>
    <row r="10" spans="2:12">
      <c r="B10" s="88"/>
      <c r="C10" s="88"/>
      <c r="D10" s="89"/>
      <c r="E10" s="89"/>
      <c r="F10" s="89"/>
      <c r="G10" s="89"/>
      <c r="H10" s="89"/>
      <c r="I10" s="89"/>
      <c r="J10" s="89"/>
    </row>
    <row r="11" spans="2:12">
      <c r="B11" s="90" t="s">
        <v>31</v>
      </c>
      <c r="C11" s="90"/>
      <c r="D11" s="89">
        <f>'6.Cons Profit &amp; Loss'!B42</f>
        <v>1138062.018993</v>
      </c>
      <c r="E11" s="89">
        <f>'6.Cons Profit &amp; Loss'!C42</f>
        <v>1138062.018993</v>
      </c>
      <c r="F11" s="89">
        <f>'6.Cons Profit &amp; Loss'!D42</f>
        <v>1138062.018993</v>
      </c>
      <c r="G11" s="89">
        <f>'6.Cons Profit &amp; Loss'!E42</f>
        <v>1138062.018993</v>
      </c>
      <c r="H11" s="89">
        <f>'6.Cons Profit &amp; Loss'!F42</f>
        <v>1138062.018993</v>
      </c>
      <c r="I11" s="89">
        <f>'6.Cons Profit &amp; Loss'!G42</f>
        <v>1138062.018993</v>
      </c>
      <c r="J11" s="89">
        <f>'6.Cons Profit &amp; Loss'!H42</f>
        <v>1138062.018993</v>
      </c>
    </row>
    <row r="12" spans="2:12">
      <c r="B12" s="88" t="s">
        <v>36</v>
      </c>
      <c r="C12" s="88"/>
      <c r="D12" s="89">
        <f>'6.Cons Profit &amp; Loss'!B43</f>
        <v>175000</v>
      </c>
      <c r="E12" s="89">
        <f>'6.Cons Profit &amp; Loss'!C43</f>
        <v>175000</v>
      </c>
      <c r="F12" s="89">
        <f>'6.Cons Profit &amp; Loss'!D43</f>
        <v>175000</v>
      </c>
      <c r="G12" s="89">
        <f>'6.Cons Profit &amp; Loss'!E43</f>
        <v>175000</v>
      </c>
      <c r="H12" s="89">
        <f>'6.Cons Profit &amp; Loss'!F43</f>
        <v>175000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4219949.7451942898</v>
      </c>
      <c r="E14" s="89">
        <f t="shared" ref="E14:J14" si="0">SUM(E9:E12)</f>
        <v>5572452.3954774216</v>
      </c>
      <c r="F14" s="89">
        <f t="shared" si="0"/>
        <v>5939104.1614914425</v>
      </c>
      <c r="G14" s="89">
        <f t="shared" si="0"/>
        <v>6351849.9056718107</v>
      </c>
      <c r="H14" s="89">
        <f t="shared" si="0"/>
        <v>6810298.7693783417</v>
      </c>
      <c r="I14" s="89">
        <f t="shared" si="0"/>
        <v>7269445.4947830904</v>
      </c>
      <c r="J14" s="89">
        <f t="shared" si="0"/>
        <v>7821414.1530596241</v>
      </c>
    </row>
    <row r="15" spans="2:12">
      <c r="B15" s="88" t="s">
        <v>352</v>
      </c>
      <c r="C15" s="91">
        <f>-'1.Project Cost and MOF'!D12</f>
        <v>-29502928.289999999</v>
      </c>
      <c r="D15" s="89">
        <f>D14</f>
        <v>4219949.7451942898</v>
      </c>
      <c r="E15" s="89">
        <f t="shared" ref="E15:J15" si="1">E14</f>
        <v>5572452.3954774216</v>
      </c>
      <c r="F15" s="89">
        <f t="shared" si="1"/>
        <v>5939104.1614914425</v>
      </c>
      <c r="G15" s="89">
        <f t="shared" si="1"/>
        <v>6351849.9056718107</v>
      </c>
      <c r="H15" s="89">
        <f t="shared" si="1"/>
        <v>6810298.7693783417</v>
      </c>
      <c r="I15" s="89">
        <f t="shared" si="1"/>
        <v>7269445.4947830904</v>
      </c>
      <c r="J15" s="89">
        <f t="shared" si="1"/>
        <v>7821414.1530596241</v>
      </c>
    </row>
    <row r="16" spans="2:12">
      <c r="B16" s="88" t="s">
        <v>284</v>
      </c>
      <c r="C16" s="272">
        <f>IRR(C15:J15)</f>
        <v>0.10079602085265305</v>
      </c>
      <c r="D16" s="89"/>
      <c r="E16" s="89"/>
      <c r="F16" s="89"/>
      <c r="G16" s="89"/>
      <c r="H16" s="89"/>
      <c r="I16" s="89"/>
      <c r="J16" s="89"/>
    </row>
    <row r="17" spans="2:19">
      <c r="B17" s="88"/>
      <c r="C17" s="88"/>
      <c r="D17" s="88"/>
      <c r="E17" s="88"/>
      <c r="F17" s="88"/>
      <c r="G17" s="88"/>
      <c r="H17" s="88"/>
      <c r="I17" s="88"/>
      <c r="J17" s="88"/>
    </row>
    <row r="18" spans="2:19" ht="16.5">
      <c r="B18" s="273" t="s">
        <v>418</v>
      </c>
      <c r="C18" s="273"/>
      <c r="D18" s="274">
        <f>1/(1+$C$16)</f>
        <v>0.90843351634340153</v>
      </c>
      <c r="E18" s="275">
        <f t="shared" ref="E18:J18" si="2">D18/(1+$C$16)</f>
        <v>0.82525145361603724</v>
      </c>
      <c r="F18" s="275">
        <f t="shared" si="2"/>
        <v>0.74968607987592029</v>
      </c>
      <c r="G18" s="275">
        <f t="shared" si="2"/>
        <v>0.6810399616953825</v>
      </c>
      <c r="H18" s="275">
        <f t="shared" si="2"/>
        <v>0.61867952717331187</v>
      </c>
      <c r="I18" s="275">
        <f t="shared" si="2"/>
        <v>0.56202921835972475</v>
      </c>
      <c r="J18" s="275">
        <f t="shared" si="2"/>
        <v>0.51056617912225821</v>
      </c>
      <c r="L18" s="17"/>
      <c r="M18" s="17"/>
      <c r="N18" s="17"/>
      <c r="O18" s="17"/>
      <c r="P18" s="17"/>
      <c r="Q18" s="17"/>
      <c r="R18" s="17"/>
      <c r="S18" s="17"/>
    </row>
    <row r="19" spans="2:19">
      <c r="B19" s="88" t="s">
        <v>33</v>
      </c>
      <c r="C19" s="88"/>
      <c r="D19" s="89">
        <f t="shared" ref="D19:J19" si="3">D14*D18</f>
        <v>3833543.7858192902</v>
      </c>
      <c r="E19" s="89">
        <f t="shared" si="3"/>
        <v>4598674.439573911</v>
      </c>
      <c r="F19" s="89">
        <f t="shared" si="3"/>
        <v>4452463.7168032844</v>
      </c>
      <c r="G19" s="89">
        <f t="shared" si="3"/>
        <v>4325863.6164535489</v>
      </c>
      <c r="H19" s="89">
        <f t="shared" si="3"/>
        <v>4213392.4225479802</v>
      </c>
      <c r="I19" s="89">
        <f t="shared" si="3"/>
        <v>4085640.7693415629</v>
      </c>
      <c r="J19" s="89">
        <f t="shared" si="3"/>
        <v>3993349.5394604057</v>
      </c>
      <c r="L19" s="6"/>
    </row>
    <row r="20" spans="2:19">
      <c r="B20" s="88" t="s">
        <v>34</v>
      </c>
      <c r="C20" s="88"/>
      <c r="D20" s="442">
        <f>SUM(D19:J19)</f>
        <v>29502928.289999984</v>
      </c>
      <c r="E20" s="442"/>
      <c r="F20" s="442"/>
      <c r="G20" s="442"/>
      <c r="H20" s="442"/>
      <c r="I20" s="442"/>
      <c r="J20" s="442"/>
      <c r="L20" s="6"/>
    </row>
    <row r="21" spans="2:19">
      <c r="B21" s="88"/>
      <c r="C21" s="88"/>
      <c r="D21" s="89"/>
      <c r="E21" s="89"/>
      <c r="F21" s="89"/>
      <c r="G21" s="89"/>
      <c r="H21" s="89"/>
      <c r="I21" s="89"/>
      <c r="J21" s="89"/>
    </row>
    <row r="22" spans="2:19">
      <c r="B22" s="9" t="s">
        <v>35</v>
      </c>
      <c r="C22" s="9"/>
      <c r="D22" s="443">
        <f>'1.Project Cost and MOF'!D12</f>
        <v>29502928.289999999</v>
      </c>
      <c r="E22" s="443"/>
      <c r="F22" s="443"/>
      <c r="G22" s="443"/>
      <c r="H22" s="443"/>
      <c r="I22" s="443"/>
      <c r="J22" s="443"/>
    </row>
    <row r="23" spans="2:19">
      <c r="F23" s="17">
        <f>D20-D22</f>
        <v>0</v>
      </c>
    </row>
    <row r="24" spans="2:19" ht="29.5" customHeight="1">
      <c r="B24" s="436" t="s">
        <v>435</v>
      </c>
      <c r="C24" s="436"/>
      <c r="D24" s="436"/>
      <c r="E24" s="436"/>
      <c r="F24" s="436"/>
      <c r="G24" s="436"/>
      <c r="H24" s="436"/>
      <c r="I24" s="436"/>
      <c r="J24" s="436"/>
    </row>
    <row r="25" spans="2:19">
      <c r="K25" s="17"/>
      <c r="L25" s="17"/>
      <c r="M25" s="17"/>
    </row>
    <row r="26" spans="2:19" ht="17.5">
      <c r="B26" s="419" t="s">
        <v>582</v>
      </c>
      <c r="C26" s="419"/>
      <c r="D26" s="419"/>
      <c r="E26" s="419"/>
      <c r="F26" s="419"/>
      <c r="G26" s="419"/>
      <c r="H26" s="419"/>
      <c r="I26" s="419"/>
    </row>
    <row r="27" spans="2:19">
      <c r="K27" s="17"/>
    </row>
    <row r="28" spans="2:19">
      <c r="B28" s="113" t="s">
        <v>0</v>
      </c>
      <c r="C28" s="104" t="s">
        <v>2</v>
      </c>
      <c r="D28" s="104" t="s">
        <v>3</v>
      </c>
      <c r="E28" s="104" t="s">
        <v>4</v>
      </c>
      <c r="F28" s="104" t="s">
        <v>5</v>
      </c>
      <c r="G28" s="104" t="s">
        <v>6</v>
      </c>
      <c r="H28" s="104" t="s">
        <v>171</v>
      </c>
      <c r="I28" s="104" t="s">
        <v>170</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8.7451500000000001E-2</v>
      </c>
      <c r="D32" s="96">
        <f>'6.Cons Profit &amp; Loss'!C8</f>
        <v>9.594900000000002E-2</v>
      </c>
      <c r="E32" s="96">
        <f>'6.Cons Profit &amp; Loss'!D8</f>
        <v>0.10074645000000002</v>
      </c>
      <c r="F32" s="96">
        <f>'6.Cons Profit &amp; Loss'!E8</f>
        <v>0.10578377250000004</v>
      </c>
      <c r="G32" s="96">
        <f>'6.Cons Profit &amp; Loss'!F8</f>
        <v>0.11107296112500004</v>
      </c>
      <c r="H32" s="96">
        <f>'6.Cons Profit &amp; Loss'!G8</f>
        <v>0.11662660918125006</v>
      </c>
      <c r="I32" s="96">
        <f>'6.Cons Profit &amp; Loss'!H8</f>
        <v>0.12245793964031255</v>
      </c>
    </row>
    <row r="33" spans="2:11">
      <c r="B33" s="110" t="str">
        <f>'6.Cons Profit &amp; Loss'!A9</f>
        <v>Faclitiy 2 - Processing Unit- Dal Mill</v>
      </c>
      <c r="C33" s="96">
        <f>'6.Cons Profit &amp; Loss'!B9</f>
        <v>0.25286399999999998</v>
      </c>
      <c r="D33" s="96">
        <f>'6.Cons Profit &amp; Loss'!C9</f>
        <v>0.27027000000000001</v>
      </c>
      <c r="E33" s="96">
        <f>'6.Cons Profit &amp; Loss'!D9</f>
        <v>0.28378350000000002</v>
      </c>
      <c r="F33" s="96">
        <f>'6.Cons Profit &amp; Loss'!E9</f>
        <v>0.29797267500000002</v>
      </c>
      <c r="G33" s="96">
        <f>'6.Cons Profit &amp; Loss'!F9</f>
        <v>0.31287130875000002</v>
      </c>
      <c r="H33" s="96">
        <f>'6.Cons Profit &amp; Loss'!G9</f>
        <v>0.32851487418750008</v>
      </c>
      <c r="I33" s="96">
        <f>'6.Cons Profit &amp; Loss'!H9</f>
        <v>0.34494061789687513</v>
      </c>
    </row>
    <row r="34" spans="2:11">
      <c r="B34" s="110"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11">
      <c r="B35" s="110" t="str">
        <f>'6.Cons Profit &amp; Loss'!A11</f>
        <v xml:space="preserve">Faclitiy 4 - Custom Hiring </v>
      </c>
      <c r="C35" s="96">
        <f>'6.Cons Profit &amp; Loss'!B11</f>
        <v>6451500</v>
      </c>
      <c r="D35" s="96">
        <f>'6.Cons Profit &amp; Loss'!C11</f>
        <v>6774075</v>
      </c>
      <c r="E35" s="96">
        <f>'6.Cons Profit &amp; Loss'!D11</f>
        <v>7112778.75</v>
      </c>
      <c r="F35" s="96">
        <f>'6.Cons Profit &amp; Loss'!E11</f>
        <v>7468417.6875000009</v>
      </c>
      <c r="G35" s="96">
        <f>'6.Cons Profit &amp; Loss'!F11</f>
        <v>7841838.5718750032</v>
      </c>
      <c r="H35" s="96">
        <f>'6.Cons Profit &amp; Loss'!G11</f>
        <v>8233930.5004687533</v>
      </c>
      <c r="I35" s="96">
        <f>'6.Cons Profit &amp; Loss'!H11</f>
        <v>8645627.0254921895</v>
      </c>
    </row>
    <row r="36" spans="2:11">
      <c r="B36" s="110" t="str">
        <f>'6.Cons Profit &amp; Loss'!A12</f>
        <v>Faclitiy 5 - Agri Input Centre</v>
      </c>
      <c r="C36" s="96">
        <f>'6.Cons Profit &amp; Loss'!B12</f>
        <v>231804750</v>
      </c>
      <c r="D36" s="96">
        <f>'6.Cons Profit &amp; Loss'!C12</f>
        <v>268374999.375</v>
      </c>
      <c r="E36" s="96">
        <f>'6.Cons Profit &amp; Loss'!D12</f>
        <v>295244524.96875</v>
      </c>
      <c r="F36" s="96">
        <f>'6.Cons Profit &amp; Loss'!E12</f>
        <v>324130065.62343752</v>
      </c>
      <c r="G36" s="96">
        <f>'6.Cons Profit &amp; Loss'!F12</f>
        <v>355166049.03117192</v>
      </c>
      <c r="H36" s="96">
        <f>'6.Cons Profit &amp; Loss'!G12</f>
        <v>388495305.61562121</v>
      </c>
      <c r="I36" s="96">
        <f>'6.Cons Profit &amp; Loss'!H12</f>
        <v>424269572.73593748</v>
      </c>
    </row>
    <row r="37" spans="2:11">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11">
      <c r="B38" s="110"/>
      <c r="C38" s="110"/>
      <c r="D38" s="110"/>
      <c r="E38" s="110"/>
      <c r="F38" s="110"/>
      <c r="G38" s="110"/>
      <c r="H38" s="110"/>
      <c r="I38" s="110"/>
    </row>
    <row r="39" spans="2:11">
      <c r="B39" s="95" t="s">
        <v>8</v>
      </c>
      <c r="C39" s="96">
        <f>SUM(C32:C38)</f>
        <v>238256250.34031549</v>
      </c>
      <c r="D39" s="96">
        <f t="shared" ref="D39:I39" si="4">SUM(D32:D38)</f>
        <v>275149074.74121898</v>
      </c>
      <c r="E39" s="96">
        <f t="shared" si="4"/>
        <v>302357304.10327995</v>
      </c>
      <c r="F39" s="96">
        <f t="shared" si="4"/>
        <v>331598483.71469396</v>
      </c>
      <c r="G39" s="96">
        <f t="shared" si="4"/>
        <v>363007888.02699119</v>
      </c>
      <c r="H39" s="96">
        <f t="shared" si="4"/>
        <v>396729236.56123143</v>
      </c>
      <c r="I39" s="96">
        <f t="shared" si="4"/>
        <v>432915200.22882825</v>
      </c>
      <c r="K39">
        <v>12488250</v>
      </c>
    </row>
    <row r="40" spans="2:11">
      <c r="B40" s="95"/>
      <c r="C40" s="96"/>
      <c r="D40" s="96"/>
      <c r="E40" s="96"/>
      <c r="F40" s="96"/>
      <c r="G40" s="96"/>
      <c r="H40" s="96"/>
      <c r="I40" s="96"/>
    </row>
    <row r="41" spans="2:11">
      <c r="B41" s="95" t="s">
        <v>38</v>
      </c>
      <c r="C41" s="96">
        <f>'6.Cons Profit &amp; Loss'!B25</f>
        <v>228524460.18244502</v>
      </c>
      <c r="D41" s="96">
        <f>'6.Cons Profit &amp; Loss'!C25</f>
        <v>262570858.85572147</v>
      </c>
      <c r="E41" s="96">
        <f>'6.Cons Profit &amp; Loss'!D25</f>
        <v>288758383.73100758</v>
      </c>
      <c r="F41" s="96">
        <f>'6.Cons Profit &amp; Loss'!E25</f>
        <v>316908233.94668305</v>
      </c>
      <c r="G41" s="96">
        <f>'6.Cons Profit &amp; Loss'!F25</f>
        <v>347151173.22459835</v>
      </c>
      <c r="H41" s="96">
        <f>'6.Cons Profit &amp; Loss'!G25</f>
        <v>379626135.84543878</v>
      </c>
      <c r="I41" s="96">
        <f>'6.Cons Profit &amp; Loss'!H25</f>
        <v>414480716.79530138</v>
      </c>
      <c r="K41">
        <v>2291400</v>
      </c>
    </row>
    <row r="42" spans="2:11">
      <c r="B42" s="95"/>
      <c r="C42" s="96"/>
      <c r="D42" s="96"/>
      <c r="E42" s="96"/>
      <c r="F42" s="96"/>
      <c r="G42" s="96"/>
      <c r="H42" s="96"/>
      <c r="I42" s="96"/>
    </row>
    <row r="43" spans="2:11">
      <c r="B43" s="97" t="s">
        <v>39</v>
      </c>
      <c r="C43" s="115">
        <f>C39-C41</f>
        <v>9731790.1578704715</v>
      </c>
      <c r="D43" s="115">
        <f t="shared" ref="D43:I43" si="5">D39-D41</f>
        <v>12578215.88549751</v>
      </c>
      <c r="E43" s="115">
        <f t="shared" si="5"/>
        <v>13598920.372272372</v>
      </c>
      <c r="F43" s="115">
        <f t="shared" si="5"/>
        <v>14690249.768010914</v>
      </c>
      <c r="G43" s="115">
        <f t="shared" si="5"/>
        <v>15856714.80239284</v>
      </c>
      <c r="H43" s="115">
        <f t="shared" si="5"/>
        <v>17103100.715792656</v>
      </c>
      <c r="I43" s="115">
        <f t="shared" si="5"/>
        <v>18434483.433526874</v>
      </c>
      <c r="K43" s="392">
        <f>K39-K41</f>
        <v>10196850</v>
      </c>
    </row>
    <row r="44" spans="2:11">
      <c r="B44" s="95"/>
      <c r="C44" s="96"/>
      <c r="D44" s="96"/>
      <c r="E44" s="96"/>
      <c r="F44" s="96"/>
      <c r="G44" s="96"/>
      <c r="H44" s="96"/>
      <c r="I44" s="96"/>
    </row>
    <row r="45" spans="2:11">
      <c r="B45" s="97" t="s">
        <v>41</v>
      </c>
      <c r="C45" s="115">
        <f>'6.Cons Profit &amp; Loss'!B36+'6.Cons Profit &amp; Loss'!B42+'6.Cons Profit &amp; Loss'!B43</f>
        <v>5134062.0189929996</v>
      </c>
      <c r="D45" s="115">
        <f>'6.Cons Profit &amp; Loss'!C36+'6.Cons Profit &amp; Loss'!C42+'6.Cons Profit &amp; Loss'!C43</f>
        <v>5325112.0189929996</v>
      </c>
      <c r="E45" s="115">
        <f>'6.Cons Profit &amp; Loss'!D36+'6.Cons Profit &amp; Loss'!D42+'6.Cons Profit &amp; Loss'!D43</f>
        <v>5525714.5189929996</v>
      </c>
      <c r="F45" s="115">
        <f>'6.Cons Profit &amp; Loss'!E36+'6.Cons Profit &amp; Loss'!E42+'6.Cons Profit &amp; Loss'!E43</f>
        <v>5736347.1439930014</v>
      </c>
      <c r="G45" s="115">
        <f>'6.Cons Profit &amp; Loss'!F36+'6.Cons Profit &amp; Loss'!F42+'6.Cons Profit &amp; Loss'!F43</f>
        <v>5957511.4002430011</v>
      </c>
      <c r="H45" s="115">
        <f>'6.Cons Profit &amp; Loss'!G36+'6.Cons Profit &amp; Loss'!G42+'6.Cons Profit &amp; Loss'!G43</f>
        <v>6014733.8693055008</v>
      </c>
      <c r="I45" s="115">
        <f>'6.Cons Profit &amp; Loss'!H36+'6.Cons Profit &amp; Loss'!H42+'6.Cons Profit &amp; Loss'!H43</f>
        <v>6258567.4618211258</v>
      </c>
      <c r="K45" s="391">
        <v>4372299.2016000003</v>
      </c>
    </row>
    <row r="46" spans="2:11">
      <c r="B46" s="95"/>
      <c r="C46" s="95"/>
      <c r="D46" s="95"/>
      <c r="E46" s="95"/>
      <c r="F46" s="95"/>
      <c r="G46" s="95"/>
      <c r="H46" s="95"/>
      <c r="I46" s="95"/>
    </row>
    <row r="47" spans="2:11">
      <c r="B47" s="95" t="s">
        <v>40</v>
      </c>
      <c r="C47" s="114">
        <f>C45/C43</f>
        <v>0.5275557667918771</v>
      </c>
      <c r="D47" s="114">
        <f>D45/D43</f>
        <v>0.42335988406215636</v>
      </c>
      <c r="E47" s="114">
        <f>E45/E43</f>
        <v>0.40633479480177703</v>
      </c>
      <c r="F47" s="114">
        <f>F45/F43</f>
        <v>0.39048669931292207</v>
      </c>
      <c r="G47" s="114">
        <f>G45/G43</f>
        <v>0.37570905918948538</v>
      </c>
      <c r="H47" s="114">
        <f t="shared" ref="H47:I47" si="6">H45/H43</f>
        <v>0.35167505408838629</v>
      </c>
      <c r="I47" s="114">
        <f t="shared" si="6"/>
        <v>0.33950327300403993</v>
      </c>
      <c r="K47" s="114">
        <f>K45/K43</f>
        <v>0.42878920466614695</v>
      </c>
    </row>
    <row r="48" spans="2:11">
      <c r="B48" s="94"/>
      <c r="C48" s="94"/>
      <c r="D48" s="94"/>
      <c r="E48" s="94"/>
      <c r="F48" s="94"/>
      <c r="G48" s="94"/>
      <c r="H48" s="94"/>
      <c r="I48" s="94"/>
    </row>
    <row r="49" spans="2:10">
      <c r="B49" s="116" t="s">
        <v>134</v>
      </c>
      <c r="C49" s="117">
        <f>AVERAGE(C47:I47)</f>
        <v>0.40208921875009201</v>
      </c>
      <c r="D49" s="94"/>
      <c r="E49" s="94"/>
      <c r="F49" s="94"/>
      <c r="G49" s="94"/>
      <c r="H49" s="94"/>
      <c r="I49" s="94"/>
    </row>
    <row r="51" spans="2:10" ht="41.5" customHeight="1">
      <c r="B51" s="437" t="s">
        <v>436</v>
      </c>
      <c r="C51" s="437"/>
      <c r="D51" s="437"/>
      <c r="E51" s="437"/>
      <c r="F51" s="437"/>
      <c r="G51" s="437"/>
      <c r="H51" s="437"/>
      <c r="I51" s="437"/>
      <c r="J51" s="437"/>
    </row>
    <row r="54" spans="2:10" ht="17.5">
      <c r="B54" s="419" t="s">
        <v>583</v>
      </c>
      <c r="C54" s="419"/>
      <c r="D54" s="419"/>
      <c r="E54" s="419"/>
      <c r="F54" s="419"/>
      <c r="G54" s="419"/>
      <c r="H54" s="419"/>
      <c r="I54" s="419"/>
    </row>
    <row r="56" spans="2:10">
      <c r="B56" s="82" t="s">
        <v>29</v>
      </c>
      <c r="C56" s="83" t="s">
        <v>2</v>
      </c>
      <c r="D56" s="83" t="s">
        <v>3</v>
      </c>
      <c r="E56" s="83" t="s">
        <v>4</v>
      </c>
      <c r="F56" s="83" t="s">
        <v>5</v>
      </c>
      <c r="G56" s="83" t="s">
        <v>6</v>
      </c>
      <c r="H56" s="83" t="s">
        <v>171</v>
      </c>
      <c r="I56" s="83" t="s">
        <v>170</v>
      </c>
    </row>
    <row r="57" spans="2:10">
      <c r="B57" s="95"/>
      <c r="C57" s="95"/>
      <c r="D57" s="95"/>
      <c r="E57" s="95"/>
      <c r="F57" s="95"/>
      <c r="G57" s="95"/>
      <c r="H57" s="95"/>
      <c r="I57" s="95"/>
    </row>
    <row r="58" spans="2:10">
      <c r="B58" s="95" t="s">
        <v>385</v>
      </c>
      <c r="C58" s="342">
        <f>'6.Cons Profit &amp; Loss'!B51</f>
        <v>2906887.7262012898</v>
      </c>
      <c r="D58" s="342">
        <f>'6.Cons Profit &amp; Loss'!C51</f>
        <v>4259390.3764844211</v>
      </c>
      <c r="E58" s="342">
        <f>'6.Cons Profit &amp; Loss'!D51</f>
        <v>4626042.142498442</v>
      </c>
      <c r="F58" s="342">
        <f>'6.Cons Profit &amp; Loss'!E51</f>
        <v>5038787.8866788102</v>
      </c>
      <c r="G58" s="342">
        <f>'6.Cons Profit &amp; Loss'!F51</f>
        <v>5497236.7503853422</v>
      </c>
      <c r="H58" s="342">
        <f>'6.Cons Profit &amp; Loss'!G51</f>
        <v>6131383.4757900909</v>
      </c>
      <c r="I58" s="342">
        <f>'6.Cons Profit &amp; Loss'!H51</f>
        <v>6683352.1340666246</v>
      </c>
    </row>
    <row r="59" spans="2:10">
      <c r="B59" s="95"/>
      <c r="C59" s="342"/>
      <c r="D59" s="342"/>
      <c r="E59" s="342"/>
      <c r="F59" s="342"/>
      <c r="G59" s="342"/>
      <c r="H59" s="342"/>
      <c r="I59" s="342"/>
    </row>
    <row r="60" spans="2:10">
      <c r="B60" s="95" t="s">
        <v>42</v>
      </c>
      <c r="C60" s="342">
        <f>'6.Cons Profit &amp; Loss'!B42</f>
        <v>1138062.018993</v>
      </c>
      <c r="D60" s="342">
        <f>'6.Cons Profit &amp; Loss'!C42</f>
        <v>1138062.018993</v>
      </c>
      <c r="E60" s="342">
        <f>'6.Cons Profit &amp; Loss'!D42</f>
        <v>1138062.018993</v>
      </c>
      <c r="F60" s="342">
        <f>'6.Cons Profit &amp; Loss'!E42</f>
        <v>1138062.018993</v>
      </c>
      <c r="G60" s="342">
        <f>'6.Cons Profit &amp; Loss'!F42</f>
        <v>1138062.018993</v>
      </c>
      <c r="H60" s="342">
        <f>'6.Cons Profit &amp; Loss'!G42</f>
        <v>1138062.018993</v>
      </c>
      <c r="I60" s="342">
        <f>'6.Cons Profit &amp; Loss'!H42</f>
        <v>1138062.018993</v>
      </c>
    </row>
    <row r="61" spans="2:10">
      <c r="B61" s="109" t="s">
        <v>48</v>
      </c>
      <c r="C61" s="342">
        <f>'6.Cons Profit &amp; Loss'!B43</f>
        <v>175000</v>
      </c>
      <c r="D61" s="342">
        <f>'6.Cons Profit &amp; Loss'!C43</f>
        <v>175000</v>
      </c>
      <c r="E61" s="342">
        <f>'6.Cons Profit &amp; Loss'!D43</f>
        <v>175000</v>
      </c>
      <c r="F61" s="342">
        <f>'6.Cons Profit &amp; Loss'!E43</f>
        <v>175000</v>
      </c>
      <c r="G61" s="342">
        <f>'6.Cons Profit &amp; Loss'!F43</f>
        <v>175000</v>
      </c>
      <c r="H61" s="342">
        <f>'6.Cons Profit &amp; Loss'!G43</f>
        <v>0</v>
      </c>
      <c r="I61" s="342">
        <f>'6.Cons Profit &amp; Loss'!H43</f>
        <v>0</v>
      </c>
    </row>
    <row r="62" spans="2:10">
      <c r="B62" s="95"/>
      <c r="C62" s="342"/>
      <c r="D62" s="342"/>
      <c r="E62" s="342"/>
      <c r="F62" s="342"/>
      <c r="G62" s="342"/>
      <c r="H62" s="342"/>
      <c r="I62" s="342"/>
    </row>
    <row r="63" spans="2:10">
      <c r="B63" s="95" t="s">
        <v>32</v>
      </c>
      <c r="C63" s="342">
        <f>SUM(C58:C61)</f>
        <v>4219949.7451942898</v>
      </c>
      <c r="D63" s="342">
        <f t="shared" ref="D63:I63" si="7">SUM(D58:D61)</f>
        <v>5572452.3954774216</v>
      </c>
      <c r="E63" s="342">
        <f t="shared" si="7"/>
        <v>5939104.1614914425</v>
      </c>
      <c r="F63" s="342">
        <f t="shared" si="7"/>
        <v>6351849.9056718107</v>
      </c>
      <c r="G63" s="342">
        <f t="shared" si="7"/>
        <v>6810298.7693783417</v>
      </c>
      <c r="H63" s="342">
        <f t="shared" si="7"/>
        <v>7269445.4947830904</v>
      </c>
      <c r="I63" s="342">
        <f t="shared" si="7"/>
        <v>7821414.1530596241</v>
      </c>
    </row>
    <row r="64" spans="2:10">
      <c r="B64" s="95"/>
      <c r="C64" s="95"/>
      <c r="D64" s="95"/>
      <c r="E64" s="95"/>
      <c r="F64" s="95"/>
      <c r="G64" s="95"/>
      <c r="H64" s="95"/>
      <c r="I64" s="95"/>
    </row>
    <row r="65" spans="2:10" ht="16.5">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5">
      <c r="B67" s="11" t="s">
        <v>44</v>
      </c>
      <c r="C67" s="96">
        <f>C63*C65</f>
        <v>3836317.9501766269</v>
      </c>
      <c r="D67" s="96">
        <f t="shared" ref="D67:I67" si="9">D63*D65</f>
        <v>4605332.5582458023</v>
      </c>
      <c r="E67" s="96">
        <f t="shared" si="9"/>
        <v>4462136.8606246747</v>
      </c>
      <c r="F67" s="96">
        <f t="shared" si="9"/>
        <v>4338398.9520332003</v>
      </c>
      <c r="G67" s="96">
        <f t="shared" si="9"/>
        <v>4228659.7223105347</v>
      </c>
      <c r="H67" s="96">
        <f t="shared" si="9"/>
        <v>4103412.4677519351</v>
      </c>
      <c r="I67" s="96">
        <f t="shared" si="9"/>
        <v>4013622.1686870912</v>
      </c>
    </row>
    <row r="68" spans="2:10">
      <c r="B68" s="94"/>
      <c r="C68" s="112"/>
      <c r="D68" s="112"/>
      <c r="E68" s="112"/>
      <c r="F68" s="112"/>
      <c r="G68" s="112"/>
      <c r="H68" s="112"/>
      <c r="I68" s="112"/>
    </row>
    <row r="69" spans="2:10" ht="16.5">
      <c r="B69" s="12" t="s">
        <v>45</v>
      </c>
      <c r="C69" s="112">
        <f>SUM(C67:I67)</f>
        <v>29587880.679829866</v>
      </c>
      <c r="D69" s="112"/>
      <c r="E69" s="112"/>
      <c r="F69" s="112"/>
      <c r="G69" s="112"/>
      <c r="H69" s="112"/>
      <c r="I69" s="112"/>
    </row>
    <row r="70" spans="2:10">
      <c r="B70" s="94"/>
      <c r="C70" s="112"/>
      <c r="D70" s="112"/>
      <c r="E70" s="112"/>
      <c r="F70" s="112"/>
      <c r="G70" s="112"/>
      <c r="H70" s="112"/>
      <c r="I70" s="112"/>
    </row>
    <row r="71" spans="2:10" ht="16.5">
      <c r="B71" s="12" t="s">
        <v>46</v>
      </c>
      <c r="C71" s="112">
        <f>'1.Project Cost and MOF'!D12</f>
        <v>29502928.289999999</v>
      </c>
      <c r="D71" s="112"/>
      <c r="E71" s="112"/>
      <c r="F71" s="112"/>
      <c r="G71" s="112"/>
      <c r="H71" s="112"/>
      <c r="I71" s="112"/>
    </row>
    <row r="72" spans="2:10">
      <c r="B72" s="94"/>
      <c r="C72" s="111"/>
      <c r="D72" s="94"/>
      <c r="E72" s="94"/>
      <c r="F72" s="94"/>
      <c r="G72" s="94"/>
      <c r="H72" s="94"/>
      <c r="I72" s="94"/>
    </row>
    <row r="73" spans="2:10" ht="16.5">
      <c r="B73" s="12" t="s">
        <v>47</v>
      </c>
      <c r="C73" s="111">
        <f>C69-C71</f>
        <v>84952.389829866588</v>
      </c>
      <c r="D73" s="94"/>
      <c r="E73" s="94"/>
      <c r="F73" s="94"/>
      <c r="G73" s="94"/>
      <c r="H73" s="94"/>
      <c r="I73" s="94"/>
    </row>
    <row r="75" spans="2:10" ht="35.15" customHeight="1">
      <c r="B75" s="427" t="s">
        <v>437</v>
      </c>
      <c r="C75" s="427"/>
      <c r="D75" s="427"/>
      <c r="E75" s="427"/>
      <c r="F75" s="427"/>
      <c r="G75" s="427"/>
      <c r="H75" s="427"/>
      <c r="I75" s="427"/>
      <c r="J75" s="427"/>
    </row>
    <row r="76" spans="2:10" ht="17.5">
      <c r="B76" s="419" t="s">
        <v>584</v>
      </c>
      <c r="C76" s="419"/>
      <c r="D76" s="419"/>
      <c r="E76" s="419"/>
      <c r="F76" s="419"/>
      <c r="G76" s="419"/>
      <c r="H76" s="419"/>
      <c r="I76" s="419"/>
    </row>
    <row r="77" spans="2:10">
      <c r="B77" s="94"/>
      <c r="C77" s="94"/>
      <c r="D77" s="94"/>
      <c r="E77" s="94"/>
      <c r="F77" s="94"/>
      <c r="G77" s="94"/>
      <c r="H77" s="94"/>
      <c r="I77" s="94"/>
    </row>
    <row r="78" spans="2:10" ht="15.5">
      <c r="B78" s="72" t="s">
        <v>0</v>
      </c>
      <c r="C78" s="72" t="s">
        <v>2</v>
      </c>
      <c r="D78" s="72" t="s">
        <v>3</v>
      </c>
      <c r="E78" s="72" t="s">
        <v>4</v>
      </c>
      <c r="F78" s="72" t="s">
        <v>5</v>
      </c>
      <c r="G78" s="72" t="s">
        <v>6</v>
      </c>
      <c r="H78" s="72" t="s">
        <v>171</v>
      </c>
      <c r="I78" s="72" t="s">
        <v>170</v>
      </c>
    </row>
    <row r="79" spans="2:10" ht="15.5">
      <c r="B79" s="69"/>
      <c r="C79" s="70"/>
      <c r="D79" s="70"/>
      <c r="E79" s="70"/>
      <c r="F79" s="70"/>
      <c r="G79" s="70"/>
      <c r="H79" s="70"/>
      <c r="I79" s="70"/>
    </row>
    <row r="80" spans="2:10">
      <c r="B80" s="97" t="s">
        <v>27</v>
      </c>
      <c r="C80" s="96">
        <f>'6.Cons Profit &amp; Loss'!B51</f>
        <v>2906887.7262012898</v>
      </c>
      <c r="D80" s="96">
        <f>'6.Cons Profit &amp; Loss'!C51</f>
        <v>4259390.3764844211</v>
      </c>
      <c r="E80" s="96">
        <f>'6.Cons Profit &amp; Loss'!D51</f>
        <v>4626042.142498442</v>
      </c>
      <c r="F80" s="96">
        <f>'6.Cons Profit &amp; Loss'!E51</f>
        <v>5038787.8866788102</v>
      </c>
      <c r="G80" s="96">
        <f>'6.Cons Profit &amp; Loss'!F51</f>
        <v>5497236.7503853422</v>
      </c>
      <c r="H80" s="96">
        <f>'6.Cons Profit &amp; Loss'!G51</f>
        <v>6131383.4757900909</v>
      </c>
      <c r="I80" s="96">
        <f>'6.Cons Profit &amp; Loss'!H51</f>
        <v>6683352.1340666246</v>
      </c>
    </row>
    <row r="81" spans="2:10">
      <c r="B81" s="95"/>
      <c r="C81" s="95"/>
      <c r="D81" s="95"/>
      <c r="E81" s="95"/>
      <c r="F81" s="95"/>
      <c r="G81" s="95"/>
      <c r="H81" s="95"/>
      <c r="I81" s="95"/>
    </row>
    <row r="82" spans="2:10">
      <c r="B82" s="97" t="s">
        <v>124</v>
      </c>
      <c r="C82" s="445">
        <f>AVERAGE(C80:I80)</f>
        <v>5020440.0703007178</v>
      </c>
      <c r="D82" s="445"/>
      <c r="E82" s="445"/>
      <c r="F82" s="445"/>
      <c r="G82" s="445"/>
      <c r="H82" s="445"/>
      <c r="I82" s="445"/>
    </row>
    <row r="83" spans="2:10">
      <c r="B83" s="97" t="s">
        <v>125</v>
      </c>
      <c r="C83" s="445">
        <f>'1.Project Cost and MOF'!D12</f>
        <v>29502928.289999999</v>
      </c>
      <c r="D83" s="445"/>
      <c r="E83" s="445"/>
      <c r="F83" s="445"/>
      <c r="G83" s="445"/>
      <c r="H83" s="445"/>
      <c r="I83" s="445"/>
    </row>
    <row r="84" spans="2:10">
      <c r="B84" s="95"/>
      <c r="C84" s="95"/>
      <c r="D84" s="95"/>
      <c r="E84" s="95"/>
      <c r="F84" s="95"/>
      <c r="G84" s="95"/>
      <c r="H84" s="95"/>
      <c r="I84" s="95"/>
    </row>
    <row r="85" spans="2:10">
      <c r="B85" s="271" t="s">
        <v>126</v>
      </c>
      <c r="C85" s="446">
        <f>C82/C83</f>
        <v>0.17016751764272814</v>
      </c>
      <c r="D85" s="446"/>
      <c r="E85" s="446"/>
      <c r="F85" s="446"/>
      <c r="G85" s="446"/>
      <c r="H85" s="446"/>
      <c r="I85" s="446"/>
    </row>
    <row r="88" spans="2:10">
      <c r="B88" s="444" t="s">
        <v>438</v>
      </c>
      <c r="C88" s="444"/>
      <c r="D88" s="444"/>
      <c r="E88" s="444"/>
      <c r="F88" s="444"/>
      <c r="G88" s="444"/>
      <c r="H88" s="444"/>
      <c r="I88" s="444"/>
    </row>
    <row r="90" spans="2:10" ht="17.5">
      <c r="B90" s="419" t="s">
        <v>585</v>
      </c>
      <c r="C90" s="419"/>
      <c r="D90" s="419"/>
      <c r="E90" s="419"/>
      <c r="F90" s="419"/>
      <c r="G90" s="419"/>
      <c r="H90" s="419"/>
      <c r="I90" s="419"/>
      <c r="J90" s="419"/>
    </row>
    <row r="92" spans="2:10">
      <c r="B92" s="104" t="s">
        <v>0</v>
      </c>
      <c r="C92" s="104" t="s">
        <v>343</v>
      </c>
      <c r="D92" s="104" t="s">
        <v>2</v>
      </c>
      <c r="E92" s="104" t="s">
        <v>3</v>
      </c>
      <c r="F92" s="104" t="s">
        <v>4</v>
      </c>
      <c r="G92" s="104" t="s">
        <v>5</v>
      </c>
      <c r="H92" s="104" t="s">
        <v>6</v>
      </c>
      <c r="I92" s="104" t="s">
        <v>171</v>
      </c>
      <c r="J92" s="104" t="s">
        <v>170</v>
      </c>
    </row>
    <row r="93" spans="2:10">
      <c r="B93" s="105"/>
      <c r="C93" s="105"/>
      <c r="D93" s="106"/>
      <c r="E93" s="106"/>
      <c r="F93" s="106"/>
      <c r="G93" s="106"/>
      <c r="H93" s="106"/>
      <c r="I93" s="106"/>
      <c r="J93" s="106"/>
    </row>
    <row r="94" spans="2:10">
      <c r="B94" s="24" t="s">
        <v>285</v>
      </c>
      <c r="C94" s="107">
        <f>'1.Project Cost and MOF'!D12</f>
        <v>29502928.289999999</v>
      </c>
      <c r="D94" s="106"/>
      <c r="E94" s="106"/>
      <c r="F94" s="106"/>
      <c r="G94" s="106"/>
      <c r="H94" s="106"/>
      <c r="I94" s="106"/>
      <c r="J94" s="106"/>
    </row>
    <row r="95" spans="2:10">
      <c r="B95" s="25" t="str">
        <f>B58</f>
        <v>Profit after Tax &amp; Dividend</v>
      </c>
      <c r="C95" s="25"/>
      <c r="D95" s="26">
        <f>'6.Cons Profit &amp; Loss'!B51</f>
        <v>2906887.7262012898</v>
      </c>
      <c r="E95" s="26">
        <f>'6.Cons Profit &amp; Loss'!C51</f>
        <v>4259390.3764844211</v>
      </c>
      <c r="F95" s="26">
        <f>'6.Cons Profit &amp; Loss'!D51</f>
        <v>4626042.142498442</v>
      </c>
      <c r="G95" s="26">
        <f>'6.Cons Profit &amp; Loss'!E51</f>
        <v>5038787.8866788102</v>
      </c>
      <c r="H95" s="26">
        <f>'6.Cons Profit &amp; Loss'!F51</f>
        <v>5497236.7503853422</v>
      </c>
      <c r="I95" s="26">
        <f>'6.Cons Profit &amp; Loss'!G51</f>
        <v>6131383.4757900909</v>
      </c>
      <c r="J95" s="26">
        <f>'6.Cons Profit &amp; Loss'!H51</f>
        <v>6683352.1340666246</v>
      </c>
    </row>
    <row r="96" spans="2:10">
      <c r="B96" s="25" t="str">
        <f>B60</f>
        <v>Add: Deprication</v>
      </c>
      <c r="C96" s="25"/>
      <c r="D96" s="92">
        <f>'6.Cons Profit &amp; Loss'!B42</f>
        <v>1138062.018993</v>
      </c>
      <c r="E96" s="92">
        <f>'6.Cons Profit &amp; Loss'!C42</f>
        <v>1138062.018993</v>
      </c>
      <c r="F96" s="92">
        <f>'6.Cons Profit &amp; Loss'!D42</f>
        <v>1138062.018993</v>
      </c>
      <c r="G96" s="92">
        <f>'6.Cons Profit &amp; Loss'!E42</f>
        <v>1138062.018993</v>
      </c>
      <c r="H96" s="92">
        <f>'6.Cons Profit &amp; Loss'!F42</f>
        <v>1138062.018993</v>
      </c>
      <c r="I96" s="92">
        <f>'6.Cons Profit &amp; Loss'!G42</f>
        <v>1138062.018993</v>
      </c>
      <c r="J96" s="92">
        <f>'6.Cons Profit &amp; Loss'!H42</f>
        <v>1138062.018993</v>
      </c>
    </row>
    <row r="97" spans="2:10">
      <c r="B97" s="25" t="str">
        <f>B61</f>
        <v>Add. Preliminary exp Written off</v>
      </c>
      <c r="C97" s="25"/>
      <c r="D97" s="92">
        <f>'6.Cons Profit &amp; Loss'!B43</f>
        <v>175000</v>
      </c>
      <c r="E97" s="92">
        <f>'6.Cons Profit &amp; Loss'!C43</f>
        <v>175000</v>
      </c>
      <c r="F97" s="92">
        <f>'6.Cons Profit &amp; Loss'!D43</f>
        <v>175000</v>
      </c>
      <c r="G97" s="92">
        <f>'6.Cons Profit &amp; Loss'!E43</f>
        <v>175000</v>
      </c>
      <c r="H97" s="92">
        <f>'6.Cons Profit &amp; Loss'!F43</f>
        <v>175000</v>
      </c>
      <c r="I97" s="92">
        <f>'6.Cons Profit &amp; Loss'!G43</f>
        <v>0</v>
      </c>
      <c r="J97" s="92">
        <f>'6.Cons Profit &amp; Loss'!H43</f>
        <v>0</v>
      </c>
    </row>
    <row r="98" spans="2:10">
      <c r="B98" s="25" t="str">
        <f>B63</f>
        <v xml:space="preserve">Net Cash Accrual (A)      </v>
      </c>
      <c r="C98" s="25"/>
      <c r="D98" s="270">
        <f>SUM(D95:D97)</f>
        <v>4219949.7451942898</v>
      </c>
      <c r="E98" s="270">
        <f t="shared" ref="E98:J98" si="10">SUM(E95:E97)</f>
        <v>5572452.3954774216</v>
      </c>
      <c r="F98" s="270">
        <f t="shared" si="10"/>
        <v>5939104.1614914425</v>
      </c>
      <c r="G98" s="270">
        <f t="shared" si="10"/>
        <v>6351849.9056718107</v>
      </c>
      <c r="H98" s="270">
        <f t="shared" si="10"/>
        <v>6810298.7693783417</v>
      </c>
      <c r="I98" s="270">
        <f t="shared" si="10"/>
        <v>7269445.4947830904</v>
      </c>
      <c r="J98" s="270">
        <f t="shared" si="10"/>
        <v>7821414.1530596241</v>
      </c>
    </row>
    <row r="99" spans="2:10">
      <c r="B99" s="24" t="s">
        <v>286</v>
      </c>
      <c r="C99" s="108"/>
      <c r="D99" s="71">
        <f>D98-C94</f>
        <v>-25282978.544805709</v>
      </c>
      <c r="E99" s="71">
        <f>D99+E98</f>
        <v>-19710526.149328288</v>
      </c>
      <c r="F99" s="71">
        <f>E99+F98</f>
        <v>-13771421.987836845</v>
      </c>
      <c r="G99" s="71">
        <f>F99+G98</f>
        <v>-7419572.0821650345</v>
      </c>
      <c r="H99" s="71">
        <f>G99+H98</f>
        <v>-609273.31278669275</v>
      </c>
      <c r="I99" s="93"/>
      <c r="J99" s="93"/>
    </row>
    <row r="100" spans="2:10">
      <c r="B100" s="7"/>
      <c r="C100" s="7"/>
      <c r="D100" s="7"/>
      <c r="E100" s="7"/>
      <c r="F100" s="7"/>
      <c r="G100" s="7"/>
      <c r="H100" s="7"/>
      <c r="I100" s="7"/>
      <c r="J100" s="7"/>
    </row>
    <row r="101" spans="2:10">
      <c r="B101" s="27" t="s">
        <v>287</v>
      </c>
      <c r="C101" s="7"/>
      <c r="D101" s="64">
        <f>4+(-G99/H98)</f>
        <v>5.0894635218540216</v>
      </c>
      <c r="E101" s="7"/>
      <c r="F101" s="7"/>
      <c r="G101" s="7"/>
      <c r="H101" s="7"/>
      <c r="I101" s="7"/>
      <c r="J101" s="7"/>
    </row>
    <row r="102" spans="2:10">
      <c r="B102" s="7"/>
      <c r="C102" s="7"/>
      <c r="D102" s="7"/>
      <c r="E102" s="7"/>
      <c r="F102" s="7"/>
      <c r="G102" s="7"/>
      <c r="H102" s="7"/>
      <c r="I102" s="7"/>
      <c r="J102" s="7"/>
    </row>
    <row r="103" spans="2:10">
      <c r="B103" s="444" t="s">
        <v>439</v>
      </c>
      <c r="C103" s="444"/>
      <c r="D103" s="444"/>
      <c r="E103" s="444"/>
      <c r="F103" s="444"/>
      <c r="G103" s="444"/>
      <c r="H103" s="444"/>
      <c r="I103" s="444"/>
      <c r="J103" s="444"/>
    </row>
    <row r="105" spans="2:10" ht="17.5">
      <c r="B105" s="419" t="s">
        <v>586</v>
      </c>
      <c r="C105" s="419"/>
      <c r="D105" s="419"/>
      <c r="E105" s="419"/>
      <c r="F105" s="419"/>
      <c r="G105" s="419"/>
      <c r="H105" s="419"/>
      <c r="I105" s="419"/>
    </row>
    <row r="107" spans="2:10" ht="15.5">
      <c r="B107" s="72" t="s">
        <v>0</v>
      </c>
      <c r="C107" s="72" t="s">
        <v>2</v>
      </c>
      <c r="D107" s="72" t="s">
        <v>3</v>
      </c>
      <c r="E107" s="72" t="s">
        <v>4</v>
      </c>
      <c r="F107" s="72" t="s">
        <v>5</v>
      </c>
      <c r="G107" s="72" t="s">
        <v>6</v>
      </c>
      <c r="H107" s="72" t="s">
        <v>171</v>
      </c>
      <c r="I107" s="72" t="s">
        <v>170</v>
      </c>
    </row>
    <row r="108" spans="2:10" ht="15.5">
      <c r="B108" s="69"/>
      <c r="C108" s="70"/>
      <c r="D108" s="70"/>
      <c r="E108" s="70"/>
      <c r="F108" s="70"/>
      <c r="G108" s="70"/>
      <c r="H108" s="70"/>
      <c r="I108" s="70"/>
    </row>
    <row r="109" spans="2:10">
      <c r="B109" s="95" t="s">
        <v>346</v>
      </c>
      <c r="C109" s="96">
        <f>'6.Cons Profit &amp; Loss'!B40</f>
        <v>5910790.1578704715</v>
      </c>
      <c r="D109" s="96">
        <f>'6.Cons Profit &amp; Loss'!C40</f>
        <v>8566165.8854975104</v>
      </c>
      <c r="E109" s="96">
        <f>'6.Cons Profit &amp; Loss'!D40</f>
        <v>9386267.8722723722</v>
      </c>
      <c r="F109" s="96">
        <f>'6.Cons Profit &amp; Loss'!E40</f>
        <v>10266964.643010914</v>
      </c>
      <c r="G109" s="96">
        <f>'6.Cons Profit &amp; Loss'!F40</f>
        <v>11212265.421142817</v>
      </c>
      <c r="H109" s="96">
        <f>'6.Cons Profit &amp; Loss'!G40</f>
        <v>12226428.865480125</v>
      </c>
      <c r="I109" s="96">
        <f>'6.Cons Profit &amp; Loss'!H40</f>
        <v>13313977.990698755</v>
      </c>
    </row>
    <row r="110" spans="2:10">
      <c r="B110" s="95" t="s">
        <v>356</v>
      </c>
      <c r="C110" s="96">
        <f>'6.Cons Profit &amp; Loss'!B42</f>
        <v>1138062.018993</v>
      </c>
      <c r="D110" s="96">
        <f>'6.Cons Profit &amp; Loss'!C42</f>
        <v>1138062.018993</v>
      </c>
      <c r="E110" s="96">
        <f>'6.Cons Profit &amp; Loss'!D42</f>
        <v>1138062.018993</v>
      </c>
      <c r="F110" s="96">
        <f>'6.Cons Profit &amp; Loss'!E42</f>
        <v>1138062.018993</v>
      </c>
      <c r="G110" s="96">
        <f>'6.Cons Profit &amp; Loss'!F42</f>
        <v>1138062.018993</v>
      </c>
      <c r="H110" s="96">
        <f>'6.Cons Profit &amp; Loss'!G42</f>
        <v>1138062.018993</v>
      </c>
      <c r="I110" s="96">
        <f>'6.Cons Profit &amp; Loss'!H42</f>
        <v>1138062.018993</v>
      </c>
    </row>
    <row r="111" spans="2:10">
      <c r="B111" s="95" t="s">
        <v>357</v>
      </c>
      <c r="C111" s="96">
        <f>'6.Cons Profit &amp; Loss'!B43</f>
        <v>175000</v>
      </c>
      <c r="D111" s="96">
        <f>'6.Cons Profit &amp; Loss'!C43</f>
        <v>175000</v>
      </c>
      <c r="E111" s="96">
        <f>'6.Cons Profit &amp; Loss'!D43</f>
        <v>175000</v>
      </c>
      <c r="F111" s="96">
        <f>'6.Cons Profit &amp; Loss'!E43</f>
        <v>175000</v>
      </c>
      <c r="G111" s="96">
        <f>'6.Cons Profit &amp; Loss'!F43</f>
        <v>175000</v>
      </c>
      <c r="H111" s="96">
        <f>'6.Cons Profit &amp; Loss'!G43</f>
        <v>0</v>
      </c>
      <c r="I111" s="96">
        <f>'6.Cons Profit &amp; Loss'!H43</f>
        <v>0</v>
      </c>
    </row>
    <row r="112" spans="2:10">
      <c r="B112" s="95" t="s">
        <v>358</v>
      </c>
      <c r="C112" s="96">
        <f>'8.Cash Flow '!C26</f>
        <v>0</v>
      </c>
      <c r="D112" s="96">
        <f>'8.Cash Flow '!D26</f>
        <v>0</v>
      </c>
      <c r="E112" s="96">
        <f>'8.Cash Flow '!E26</f>
        <v>0</v>
      </c>
      <c r="F112" s="96">
        <f>'8.Cash Flow '!F26</f>
        <v>0</v>
      </c>
      <c r="G112" s="96">
        <f>'8.Cash Flow '!G26</f>
        <v>0</v>
      </c>
      <c r="H112" s="96">
        <f>'8.Cash Flow '!H26</f>
        <v>0</v>
      </c>
      <c r="I112" s="96">
        <f>'8.Cash Flow '!I26</f>
        <v>0</v>
      </c>
    </row>
    <row r="113" spans="2:18">
      <c r="B113" s="97" t="s">
        <v>1</v>
      </c>
      <c r="C113" s="98">
        <f>SUM(C109:C112)</f>
        <v>7223852.176863471</v>
      </c>
      <c r="D113" s="98">
        <f t="shared" ref="D113:I113" si="11">SUM(D109:D112)</f>
        <v>9879227.90449051</v>
      </c>
      <c r="E113" s="98">
        <f t="shared" si="11"/>
        <v>10699329.891265372</v>
      </c>
      <c r="F113" s="98">
        <f t="shared" si="11"/>
        <v>11580026.662003914</v>
      </c>
      <c r="G113" s="98">
        <f t="shared" si="11"/>
        <v>12525327.440135816</v>
      </c>
      <c r="H113" s="98">
        <f t="shared" si="11"/>
        <v>13364490.884473125</v>
      </c>
      <c r="I113" s="98">
        <f t="shared" si="11"/>
        <v>14452040.009691754</v>
      </c>
    </row>
    <row r="114" spans="2:18">
      <c r="B114" s="95"/>
      <c r="C114" s="95"/>
      <c r="D114" s="95"/>
      <c r="E114" s="95"/>
      <c r="F114" s="95"/>
      <c r="G114" s="95"/>
      <c r="H114" s="95"/>
      <c r="I114" s="95"/>
    </row>
    <row r="115" spans="2:18">
      <c r="B115" s="99" t="s">
        <v>288</v>
      </c>
      <c r="C115" s="100">
        <f>'8.Cash Flow '!C25+'8.Cash Flow '!C26</f>
        <v>0</v>
      </c>
      <c r="D115" s="100">
        <f>'8.Cash Flow '!D25+'8.Cash Flow '!D26</f>
        <v>0</v>
      </c>
      <c r="E115" s="100">
        <f>'8.Cash Flow '!E25+'8.Cash Flow '!E26</f>
        <v>0</v>
      </c>
      <c r="F115" s="100">
        <f>'8.Cash Flow '!F25+'8.Cash Flow '!F26</f>
        <v>0</v>
      </c>
      <c r="G115" s="100">
        <f>'8.Cash Flow '!G25+'8.Cash Flow '!G26</f>
        <v>0</v>
      </c>
      <c r="H115" s="100">
        <f>'8.Cash Flow '!H25+'8.Cash Flow '!H26</f>
        <v>0</v>
      </c>
      <c r="I115" s="100">
        <f>'8.Cash Flow '!I25+'8.Cash Flow '!I26</f>
        <v>0</v>
      </c>
    </row>
    <row r="116" spans="2:18">
      <c r="B116" s="95"/>
      <c r="C116" s="95"/>
      <c r="D116" s="95"/>
      <c r="E116" s="95"/>
      <c r="F116" s="95"/>
      <c r="G116" s="95"/>
      <c r="H116" s="95"/>
      <c r="I116" s="95"/>
    </row>
    <row r="117" spans="2:18">
      <c r="B117" s="101" t="s">
        <v>344</v>
      </c>
      <c r="C117" s="102" t="e">
        <f>C113/C115</f>
        <v>#DIV/0!</v>
      </c>
      <c r="D117" s="102" t="e">
        <f t="shared" ref="D117:I117" si="12">D113/D115</f>
        <v>#DIV/0!</v>
      </c>
      <c r="E117" s="102" t="e">
        <f t="shared" si="12"/>
        <v>#DIV/0!</v>
      </c>
      <c r="F117" s="102" t="e">
        <f t="shared" si="12"/>
        <v>#DIV/0!</v>
      </c>
      <c r="G117" s="102" t="e">
        <f t="shared" si="12"/>
        <v>#DIV/0!</v>
      </c>
      <c r="H117" s="102" t="e">
        <f t="shared" si="12"/>
        <v>#DIV/0!</v>
      </c>
      <c r="I117" s="102" t="e">
        <f t="shared" si="12"/>
        <v>#DIV/0!</v>
      </c>
    </row>
    <row r="118" spans="2:18">
      <c r="B118" s="94"/>
      <c r="C118" s="94"/>
      <c r="D118" s="94"/>
      <c r="E118" s="94"/>
      <c r="F118" s="94"/>
      <c r="G118" s="94"/>
      <c r="H118" s="94"/>
      <c r="I118" s="94"/>
    </row>
    <row r="119" spans="2:18">
      <c r="B119" s="94" t="s">
        <v>345</v>
      </c>
      <c r="C119" s="103" t="e">
        <f>AVERAGE(C117:I117)</f>
        <v>#DIV/0!</v>
      </c>
      <c r="D119" s="94"/>
      <c r="E119" s="94"/>
      <c r="F119" s="94"/>
      <c r="G119" s="94"/>
      <c r="H119" s="94"/>
      <c r="I119" s="94"/>
    </row>
    <row r="121" spans="2:18" ht="29.5" customHeight="1">
      <c r="B121" s="427" t="s">
        <v>440</v>
      </c>
      <c r="C121" s="427"/>
      <c r="D121" s="427"/>
      <c r="E121" s="427"/>
      <c r="F121" s="427"/>
      <c r="G121" s="427"/>
      <c r="H121" s="427"/>
      <c r="I121" s="427"/>
      <c r="J121" s="427"/>
    </row>
    <row r="123" spans="2:18" ht="21">
      <c r="B123" s="439" t="s">
        <v>587</v>
      </c>
      <c r="C123" s="440"/>
      <c r="D123" s="440"/>
      <c r="E123" s="440"/>
      <c r="F123" s="440"/>
      <c r="G123" s="440"/>
      <c r="H123" s="440"/>
      <c r="I123" s="440"/>
      <c r="K123" s="441"/>
      <c r="L123" s="441"/>
      <c r="M123" s="441"/>
      <c r="N123" s="441"/>
      <c r="O123" s="441"/>
      <c r="P123" s="441"/>
      <c r="Q123" s="441"/>
      <c r="R123" s="441"/>
    </row>
    <row r="124" spans="2:18">
      <c r="B124" s="82" t="s">
        <v>359</v>
      </c>
      <c r="C124" s="83" t="s">
        <v>2</v>
      </c>
      <c r="D124" s="83" t="s">
        <v>3</v>
      </c>
      <c r="E124" s="83" t="s">
        <v>4</v>
      </c>
      <c r="F124" s="83" t="s">
        <v>5</v>
      </c>
      <c r="G124" s="83" t="s">
        <v>6</v>
      </c>
      <c r="H124" s="83" t="s">
        <v>171</v>
      </c>
      <c r="I124" s="83" t="s">
        <v>170</v>
      </c>
    </row>
    <row r="125" spans="2:18">
      <c r="B125" s="74" t="str">
        <f>'6.Cons Profit &amp; Loss'!A8</f>
        <v>Faclitiy 1 - Cleaning &amp; Grading</v>
      </c>
      <c r="C125" s="339">
        <f>'6.Cons Profit &amp; Loss'!B8*(1+$M$126)</f>
        <v>9.1824075000000005E-2</v>
      </c>
      <c r="D125" s="339">
        <f>'6.Cons Profit &amp; Loss'!C8*(1+$M$126)</f>
        <v>0.10074645000000003</v>
      </c>
      <c r="E125" s="339">
        <f>'6.Cons Profit &amp; Loss'!D8*(1+$M$126)</f>
        <v>0.10578377250000003</v>
      </c>
      <c r="F125" s="339">
        <f>'6.Cons Profit &amp; Loss'!E8*(1+$M$126)</f>
        <v>0.11107296112500005</v>
      </c>
      <c r="G125" s="339">
        <f>'6.Cons Profit &amp; Loss'!F8*(1+$M$126)</f>
        <v>0.11662660918125005</v>
      </c>
      <c r="H125" s="339">
        <f>'6.Cons Profit &amp; Loss'!G8*(1+$M$126)</f>
        <v>0.12245793964031257</v>
      </c>
      <c r="I125" s="339">
        <f>'6.Cons Profit &amp; Loss'!H8*(1+$M$126)</f>
        <v>0.12858083662232819</v>
      </c>
    </row>
    <row r="126" spans="2:18">
      <c r="B126" s="74" t="str">
        <f>'6.Cons Profit &amp; Loss'!A9</f>
        <v>Faclitiy 2 - Processing Unit- Dal Mill</v>
      </c>
      <c r="C126" s="339">
        <f>'6.Cons Profit &amp; Loss'!B9*(1+$M$126)</f>
        <v>0.2655072</v>
      </c>
      <c r="D126" s="339">
        <f>'6.Cons Profit &amp; Loss'!C9*(1+$M$126)</f>
        <v>0.28378350000000002</v>
      </c>
      <c r="E126" s="339">
        <f>'6.Cons Profit &amp; Loss'!D9*(1+$M$126)</f>
        <v>0.29797267500000002</v>
      </c>
      <c r="F126" s="339">
        <f>'6.Cons Profit &amp; Loss'!E9*(1+$M$126)</f>
        <v>0.31287130875000002</v>
      </c>
      <c r="G126" s="339">
        <f>'6.Cons Profit &amp; Loss'!F9*(1+$M$126)</f>
        <v>0.32851487418750003</v>
      </c>
      <c r="H126" s="339">
        <f>'6.Cons Profit &amp; Loss'!G9*(1+$M$126)</f>
        <v>0.34494061789687508</v>
      </c>
      <c r="I126" s="339">
        <f>'6.Cons Profit &amp; Loss'!H9*(1+$M$126)</f>
        <v>0.36218764879171889</v>
      </c>
      <c r="L126" s="5" t="s">
        <v>380</v>
      </c>
      <c r="M126" s="279">
        <v>0.05</v>
      </c>
    </row>
    <row r="127" spans="2:18">
      <c r="B127" s="74" t="str">
        <f>'6.Cons Profit &amp; Loss'!A10</f>
        <v>Faclitiy 3 - Warehouse</v>
      </c>
      <c r="C127" s="339">
        <f>'6.Cons Profit &amp; Loss'!B10*(1+$M$126)</f>
        <v>0</v>
      </c>
      <c r="D127" s="339">
        <f>'6.Cons Profit &amp; Loss'!C10*(1+$M$126)</f>
        <v>0</v>
      </c>
      <c r="E127" s="339">
        <f>'6.Cons Profit &amp; Loss'!D10*(1+$M$126)</f>
        <v>0</v>
      </c>
      <c r="F127" s="339">
        <f>'6.Cons Profit &amp; Loss'!E10*(1+$M$126)</f>
        <v>0</v>
      </c>
      <c r="G127" s="339">
        <f>'6.Cons Profit &amp; Loss'!F10*(1+$M$126)</f>
        <v>0</v>
      </c>
      <c r="H127" s="339">
        <f>'6.Cons Profit &amp; Loss'!G10*(1+$M$126)</f>
        <v>0</v>
      </c>
      <c r="I127" s="339">
        <f>'6.Cons Profit &amp; Loss'!H10*(1+$M$126)</f>
        <v>0</v>
      </c>
      <c r="L127" s="5" t="s">
        <v>381</v>
      </c>
      <c r="M127" s="279">
        <v>0.05</v>
      </c>
    </row>
    <row r="128" spans="2:18">
      <c r="B128" s="74" t="str">
        <f>'6.Cons Profit &amp; Loss'!A11</f>
        <v xml:space="preserve">Faclitiy 4 - Custom Hiring </v>
      </c>
      <c r="C128" s="339">
        <f>'6.Cons Profit &amp; Loss'!B11*(1+$M$126)</f>
        <v>6774075</v>
      </c>
      <c r="D128" s="339">
        <f>'6.Cons Profit &amp; Loss'!C11*(1+$M$126)</f>
        <v>7112778.75</v>
      </c>
      <c r="E128" s="339">
        <f>'6.Cons Profit &amp; Loss'!D11*(1+$M$126)</f>
        <v>7468417.6875</v>
      </c>
      <c r="F128" s="339">
        <f>'6.Cons Profit &amp; Loss'!E11*(1+$M$126)</f>
        <v>7841838.5718750013</v>
      </c>
      <c r="G128" s="339">
        <f>'6.Cons Profit &amp; Loss'!F11*(1+$M$126)</f>
        <v>8233930.5004687533</v>
      </c>
      <c r="H128" s="339">
        <f>'6.Cons Profit &amp; Loss'!G11*(1+$M$126)</f>
        <v>8645627.0254921913</v>
      </c>
      <c r="I128" s="339">
        <f>'6.Cons Profit &amp; Loss'!H11*(1+$M$126)</f>
        <v>9077908.376766799</v>
      </c>
    </row>
    <row r="129" spans="2:9">
      <c r="B129" s="74" t="str">
        <f>'6.Cons Profit &amp; Loss'!A12</f>
        <v>Faclitiy 5 - Agri Input Centre</v>
      </c>
      <c r="C129" s="339">
        <f>'6.Cons Profit &amp; Loss'!B12*(1+$M$126)</f>
        <v>243394987.5</v>
      </c>
      <c r="D129" s="339">
        <f>'6.Cons Profit &amp; Loss'!C12*(1+$M$126)</f>
        <v>281793749.34375</v>
      </c>
      <c r="E129" s="339">
        <f>'6.Cons Profit &amp; Loss'!D12*(1+$M$126)</f>
        <v>310006751.21718752</v>
      </c>
      <c r="F129" s="339">
        <f>'6.Cons Profit &amp; Loss'!E12*(1+$M$126)</f>
        <v>340336568.90460944</v>
      </c>
      <c r="G129" s="339">
        <f>'6.Cons Profit &amp; Loss'!F12*(1+$M$126)</f>
        <v>372924351.48273051</v>
      </c>
      <c r="H129" s="339">
        <f>'6.Cons Profit &amp; Loss'!G12*(1+$M$126)</f>
        <v>407920070.8964023</v>
      </c>
      <c r="I129" s="339">
        <f>'6.Cons Profit &amp; Loss'!H12*(1+$M$126)</f>
        <v>445483051.37273437</v>
      </c>
    </row>
    <row r="130" spans="2:9">
      <c r="B130" s="74" t="str">
        <f>'6.Cons Profit &amp; Loss'!A13</f>
        <v>Facility 6 - Processing Unit - Horti Commodity</v>
      </c>
      <c r="C130" s="339">
        <f>'6.Cons Profit &amp; Loss'!B13*(1+$M$126)</f>
        <v>0</v>
      </c>
      <c r="D130" s="339">
        <f>'6.Cons Profit &amp; Loss'!C13*(1+$M$126)</f>
        <v>0</v>
      </c>
      <c r="E130" s="339">
        <f>'6.Cons Profit &amp; Loss'!D13*(1+$M$126)</f>
        <v>0</v>
      </c>
      <c r="F130" s="339">
        <f>'6.Cons Profit &amp; Loss'!E13*(1+$M$126)</f>
        <v>0</v>
      </c>
      <c r="G130" s="339">
        <f>'6.Cons Profit &amp; Loss'!F13*(1+$M$126)</f>
        <v>0</v>
      </c>
      <c r="H130" s="339">
        <f>'6.Cons Profit &amp; Loss'!G13*(1+$M$126)</f>
        <v>0</v>
      </c>
      <c r="I130" s="339">
        <f>'6.Cons Profit &amp; Loss'!H13*(1+$M$126)</f>
        <v>0</v>
      </c>
    </row>
    <row r="131" spans="2:9">
      <c r="B131" s="74">
        <f>'6.Cons Profit &amp; Loss'!A14</f>
        <v>0</v>
      </c>
      <c r="C131" s="339">
        <f>'6.Cons Profit &amp; Loss'!B14*(1+$M$126)</f>
        <v>0</v>
      </c>
      <c r="D131" s="339">
        <f>'6.Cons Profit &amp; Loss'!C14*(1+$M$126)</f>
        <v>0</v>
      </c>
      <c r="E131" s="339">
        <f>'6.Cons Profit &amp; Loss'!D14*(1+$M$126)</f>
        <v>0</v>
      </c>
      <c r="F131" s="339">
        <f>'6.Cons Profit &amp; Loss'!E14*(1+$M$126)</f>
        <v>0</v>
      </c>
      <c r="G131" s="339">
        <f>'6.Cons Profit &amp; Loss'!F14*(1+$M$126)</f>
        <v>0</v>
      </c>
      <c r="H131" s="339">
        <f>'6.Cons Profit &amp; Loss'!G14*(1+$M$126)</f>
        <v>0</v>
      </c>
      <c r="I131" s="339">
        <f>'6.Cons Profit &amp; Loss'!H14*(1+$M$126)</f>
        <v>0</v>
      </c>
    </row>
    <row r="132" spans="2:9">
      <c r="B132" s="74" t="s">
        <v>360</v>
      </c>
      <c r="C132" s="339">
        <f>SUM(C125:C131)</f>
        <v>250169062.85733128</v>
      </c>
      <c r="D132" s="339">
        <f t="shared" ref="D132:I132" si="13">SUM(D125:D131)</f>
        <v>288906528.47827995</v>
      </c>
      <c r="E132" s="339">
        <f t="shared" si="13"/>
        <v>317475169.30844396</v>
      </c>
      <c r="F132" s="339">
        <f t="shared" si="13"/>
        <v>348178407.90042871</v>
      </c>
      <c r="G132" s="339">
        <f t="shared" si="13"/>
        <v>381158282.42834073</v>
      </c>
      <c r="H132" s="339">
        <f t="shared" si="13"/>
        <v>416565698.38929307</v>
      </c>
      <c r="I132" s="339">
        <f t="shared" si="13"/>
        <v>454560960.24026966</v>
      </c>
    </row>
    <row r="133" spans="2:9">
      <c r="B133" s="74" t="s">
        <v>361</v>
      </c>
      <c r="C133" s="339"/>
      <c r="D133" s="339"/>
      <c r="E133" s="339"/>
      <c r="F133" s="339"/>
      <c r="G133" s="339"/>
      <c r="H133" s="339"/>
      <c r="I133" s="339"/>
    </row>
    <row r="134" spans="2:9">
      <c r="B134" s="74" t="s">
        <v>362</v>
      </c>
      <c r="C134" s="339">
        <f>'6.Cons Profit &amp; Loss'!B36</f>
        <v>3821000</v>
      </c>
      <c r="D134" s="339">
        <f>'6.Cons Profit &amp; Loss'!C36</f>
        <v>4012050</v>
      </c>
      <c r="E134" s="339">
        <f>'6.Cons Profit &amp; Loss'!D36</f>
        <v>4212652.5</v>
      </c>
      <c r="F134" s="339">
        <f>'6.Cons Profit &amp; Loss'!E36</f>
        <v>4423285.1250000009</v>
      </c>
      <c r="G134" s="339">
        <f>'6.Cons Profit &amp; Loss'!F36</f>
        <v>4644449.3812500006</v>
      </c>
      <c r="H134" s="339">
        <f>'6.Cons Profit &amp; Loss'!G36</f>
        <v>4876671.8503125012</v>
      </c>
      <c r="I134" s="339">
        <f>'6.Cons Profit &amp; Loss'!H36</f>
        <v>5120505.4428281263</v>
      </c>
    </row>
    <row r="135" spans="2:9">
      <c r="B135" s="74" t="s">
        <v>316</v>
      </c>
      <c r="C135" s="339">
        <f>'6.Cons Profit &amp; Loss'!B25*(1+M126)</f>
        <v>239950683.19156727</v>
      </c>
      <c r="D135" s="339">
        <f>'6.Cons Profit &amp; Loss'!C25*(1+N126)</f>
        <v>262570858.85572147</v>
      </c>
      <c r="E135" s="339">
        <f>'6.Cons Profit &amp; Loss'!D25*(1+O126)</f>
        <v>288758383.73100758</v>
      </c>
      <c r="F135" s="339">
        <f>'6.Cons Profit &amp; Loss'!E25*(1+P126)</f>
        <v>316908233.94668305</v>
      </c>
      <c r="G135" s="339">
        <f>'6.Cons Profit &amp; Loss'!F25*(1+Q126)</f>
        <v>347151173.22459835</v>
      </c>
      <c r="H135" s="339">
        <f>'6.Cons Profit &amp; Loss'!G25*(1+R126)</f>
        <v>379626135.84543878</v>
      </c>
      <c r="I135" s="339">
        <f>'6.Cons Profit &amp; Loss'!H25*(1+S126)</f>
        <v>414480716.79530138</v>
      </c>
    </row>
    <row r="136" spans="2:9">
      <c r="B136" s="74" t="s">
        <v>363</v>
      </c>
      <c r="C136" s="339">
        <f t="shared" ref="C136:I136" si="14">SUM(C134:C135)</f>
        <v>243771683.19156727</v>
      </c>
      <c r="D136" s="339">
        <f t="shared" si="14"/>
        <v>266582908.85572147</v>
      </c>
      <c r="E136" s="339">
        <f t="shared" si="14"/>
        <v>292971036.23100758</v>
      </c>
      <c r="F136" s="339">
        <f t="shared" si="14"/>
        <v>321331519.07168305</v>
      </c>
      <c r="G136" s="339">
        <f t="shared" si="14"/>
        <v>351795622.60584837</v>
      </c>
      <c r="H136" s="339">
        <f t="shared" si="14"/>
        <v>384502807.69575131</v>
      </c>
      <c r="I136" s="339">
        <f t="shared" si="14"/>
        <v>419601222.2381295</v>
      </c>
    </row>
    <row r="137" spans="2:9">
      <c r="B137" s="77" t="s">
        <v>364</v>
      </c>
      <c r="C137" s="341">
        <f t="shared" ref="C137:I137" si="15">+C132-C136</f>
        <v>6397379.665764004</v>
      </c>
      <c r="D137" s="341">
        <f t="shared" si="15"/>
        <v>22323619.622558475</v>
      </c>
      <c r="E137" s="341">
        <f t="shared" si="15"/>
        <v>24504133.077436388</v>
      </c>
      <c r="F137" s="341">
        <f t="shared" si="15"/>
        <v>26846888.828745663</v>
      </c>
      <c r="G137" s="341">
        <f t="shared" si="15"/>
        <v>29362659.822492361</v>
      </c>
      <c r="H137" s="341">
        <f t="shared" si="15"/>
        <v>32062890.693541765</v>
      </c>
      <c r="I137" s="341">
        <f t="shared" si="15"/>
        <v>34959738.002140164</v>
      </c>
    </row>
    <row r="138" spans="2:9">
      <c r="B138" s="79"/>
      <c r="C138" s="80"/>
      <c r="D138" s="80"/>
      <c r="E138" s="80"/>
      <c r="F138" s="80"/>
      <c r="G138" s="80"/>
      <c r="H138" s="80"/>
      <c r="I138" s="80"/>
    </row>
    <row r="139" spans="2:9">
      <c r="B139" s="82" t="s">
        <v>365</v>
      </c>
      <c r="C139" s="83" t="s">
        <v>2</v>
      </c>
      <c r="D139" s="83" t="s">
        <v>3</v>
      </c>
      <c r="E139" s="83" t="s">
        <v>4</v>
      </c>
      <c r="F139" s="83" t="s">
        <v>5</v>
      </c>
      <c r="G139" s="83" t="s">
        <v>6</v>
      </c>
      <c r="H139" s="83" t="s">
        <v>171</v>
      </c>
      <c r="I139" s="83" t="s">
        <v>170</v>
      </c>
    </row>
    <row r="140" spans="2:9">
      <c r="B140" s="74" t="str">
        <f t="shared" ref="B140:B146" si="16">B125</f>
        <v>Faclitiy 1 - Cleaning &amp; Grading</v>
      </c>
      <c r="C140" s="76">
        <f>'6.Cons Profit &amp; Loss'!B8</f>
        <v>8.7451500000000001E-2</v>
      </c>
      <c r="D140" s="76">
        <f>'6.Cons Profit &amp; Loss'!C8</f>
        <v>9.594900000000002E-2</v>
      </c>
      <c r="E140" s="76">
        <f>'6.Cons Profit &amp; Loss'!D8</f>
        <v>0.10074645000000002</v>
      </c>
      <c r="F140" s="76">
        <f>'6.Cons Profit &amp; Loss'!E8</f>
        <v>0.10578377250000004</v>
      </c>
      <c r="G140" s="76">
        <f>'6.Cons Profit &amp; Loss'!F8</f>
        <v>0.11107296112500004</v>
      </c>
      <c r="H140" s="76">
        <f>'6.Cons Profit &amp; Loss'!G8</f>
        <v>0.11662660918125006</v>
      </c>
      <c r="I140" s="76">
        <f>'6.Cons Profit &amp; Loss'!H8</f>
        <v>0.12245793964031255</v>
      </c>
    </row>
    <row r="141" spans="2:9">
      <c r="B141" s="74" t="str">
        <f t="shared" si="16"/>
        <v>Faclitiy 2 - Processing Unit- Dal Mill</v>
      </c>
      <c r="C141" s="76">
        <f>'6.Cons Profit &amp; Loss'!B9</f>
        <v>0.25286399999999998</v>
      </c>
      <c r="D141" s="76">
        <f>'6.Cons Profit &amp; Loss'!C9</f>
        <v>0.27027000000000001</v>
      </c>
      <c r="E141" s="76">
        <f>'6.Cons Profit &amp; Loss'!D9</f>
        <v>0.28378350000000002</v>
      </c>
      <c r="F141" s="76">
        <f>'6.Cons Profit &amp; Loss'!E9</f>
        <v>0.29797267500000002</v>
      </c>
      <c r="G141" s="76">
        <f>'6.Cons Profit &amp; Loss'!F9</f>
        <v>0.31287130875000002</v>
      </c>
      <c r="H141" s="76">
        <f>'6.Cons Profit &amp; Loss'!G9</f>
        <v>0.32851487418750008</v>
      </c>
      <c r="I141" s="76">
        <f>'6.Cons Profit &amp; Loss'!H9</f>
        <v>0.34494061789687513</v>
      </c>
    </row>
    <row r="142" spans="2:9">
      <c r="B142" s="74" t="str">
        <f t="shared" si="16"/>
        <v>Faclitiy 3 - Warehouse</v>
      </c>
      <c r="C142" s="76">
        <f>'6.Cons Profit &amp; Loss'!B10</f>
        <v>0</v>
      </c>
      <c r="D142" s="76">
        <f>'6.Cons Profit &amp; Loss'!C10</f>
        <v>0</v>
      </c>
      <c r="E142" s="76">
        <f>'6.Cons Profit &amp; Loss'!D10</f>
        <v>0</v>
      </c>
      <c r="F142" s="76">
        <f>'6.Cons Profit &amp; Loss'!E10</f>
        <v>0</v>
      </c>
      <c r="G142" s="76">
        <f>'6.Cons Profit &amp; Loss'!F10</f>
        <v>0</v>
      </c>
      <c r="H142" s="76">
        <f>'6.Cons Profit &amp; Loss'!G10</f>
        <v>0</v>
      </c>
      <c r="I142" s="76">
        <f>'6.Cons Profit &amp; Loss'!H10</f>
        <v>0</v>
      </c>
    </row>
    <row r="143" spans="2:9">
      <c r="B143" s="74" t="str">
        <f t="shared" si="16"/>
        <v xml:space="preserve">Faclitiy 4 - Custom Hiring </v>
      </c>
      <c r="C143" s="76">
        <f>'6.Cons Profit &amp; Loss'!B11</f>
        <v>6451500</v>
      </c>
      <c r="D143" s="76">
        <f>'6.Cons Profit &amp; Loss'!C11</f>
        <v>6774075</v>
      </c>
      <c r="E143" s="76">
        <f>'6.Cons Profit &amp; Loss'!D11</f>
        <v>7112778.75</v>
      </c>
      <c r="F143" s="76">
        <f>'6.Cons Profit &amp; Loss'!E11</f>
        <v>7468417.6875000009</v>
      </c>
      <c r="G143" s="76">
        <f>'6.Cons Profit &amp; Loss'!F11</f>
        <v>7841838.5718750032</v>
      </c>
      <c r="H143" s="76">
        <f>'6.Cons Profit &amp; Loss'!G11</f>
        <v>8233930.5004687533</v>
      </c>
      <c r="I143" s="76">
        <f>'6.Cons Profit &amp; Loss'!H11</f>
        <v>8645627.0254921895</v>
      </c>
    </row>
    <row r="144" spans="2:9">
      <c r="B144" s="74" t="str">
        <f t="shared" si="16"/>
        <v>Faclitiy 5 - Agri Input Centre</v>
      </c>
      <c r="C144" s="76">
        <f>'6.Cons Profit &amp; Loss'!B12</f>
        <v>231804750</v>
      </c>
      <c r="D144" s="76">
        <f>'6.Cons Profit &amp; Loss'!C12</f>
        <v>268374999.375</v>
      </c>
      <c r="E144" s="76">
        <f>'6.Cons Profit &amp; Loss'!D12</f>
        <v>295244524.96875</v>
      </c>
      <c r="F144" s="76">
        <f>'6.Cons Profit &amp; Loss'!E12</f>
        <v>324130065.62343752</v>
      </c>
      <c r="G144" s="76">
        <f>'6.Cons Profit &amp; Loss'!F12</f>
        <v>355166049.03117192</v>
      </c>
      <c r="H144" s="76">
        <f>'6.Cons Profit &amp; Loss'!G12</f>
        <v>388495305.61562121</v>
      </c>
      <c r="I144" s="76">
        <f>'6.Cons Profit &amp; Loss'!H12</f>
        <v>424269572.73593748</v>
      </c>
    </row>
    <row r="145" spans="2:15">
      <c r="B145" s="74" t="str">
        <f t="shared" si="16"/>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360</v>
      </c>
      <c r="C147" s="76">
        <f>SUM(C140:C146)</f>
        <v>238256250.34031549</v>
      </c>
      <c r="D147" s="76">
        <f t="shared" ref="D147:I147" si="17">SUM(D140:D146)</f>
        <v>275149074.74121898</v>
      </c>
      <c r="E147" s="76">
        <f t="shared" si="17"/>
        <v>302357304.10327995</v>
      </c>
      <c r="F147" s="76">
        <f t="shared" si="17"/>
        <v>331598483.71469396</v>
      </c>
      <c r="G147" s="76">
        <f t="shared" si="17"/>
        <v>363007888.02699119</v>
      </c>
      <c r="H147" s="76">
        <f t="shared" si="17"/>
        <v>396729236.56123143</v>
      </c>
      <c r="I147" s="76">
        <f t="shared" si="17"/>
        <v>432915200.22882825</v>
      </c>
    </row>
    <row r="148" spans="2:15">
      <c r="B148" s="74" t="s">
        <v>361</v>
      </c>
      <c r="C148" s="81"/>
      <c r="D148" s="76"/>
      <c r="E148" s="76"/>
      <c r="F148" s="76"/>
      <c r="G148" s="76"/>
      <c r="H148" s="76"/>
      <c r="I148" s="76"/>
    </row>
    <row r="149" spans="2:15">
      <c r="B149" s="74" t="s">
        <v>362</v>
      </c>
      <c r="C149" s="75">
        <f>'6.Cons Profit &amp; Loss'!B36</f>
        <v>3821000</v>
      </c>
      <c r="D149" s="75">
        <f>'6.Cons Profit &amp; Loss'!C36</f>
        <v>4012050</v>
      </c>
      <c r="E149" s="75">
        <f>'6.Cons Profit &amp; Loss'!D36</f>
        <v>4212652.5</v>
      </c>
      <c r="F149" s="75">
        <f>'6.Cons Profit &amp; Loss'!E36</f>
        <v>4423285.1250000009</v>
      </c>
      <c r="G149" s="75">
        <f>'6.Cons Profit &amp; Loss'!F36</f>
        <v>4644449.3812500006</v>
      </c>
      <c r="H149" s="75">
        <f>'6.Cons Profit &amp; Loss'!G36</f>
        <v>4876671.8503125012</v>
      </c>
      <c r="I149" s="75">
        <f>'6.Cons Profit &amp; Loss'!H36</f>
        <v>5120505.4428281263</v>
      </c>
    </row>
    <row r="150" spans="2:15">
      <c r="B150" s="74" t="s">
        <v>316</v>
      </c>
      <c r="C150" s="75">
        <f>'6.Cons Profit &amp; Loss'!B25*(1+$M$127)</f>
        <v>239950683.19156727</v>
      </c>
      <c r="D150" s="75">
        <f>'6.Cons Profit &amp; Loss'!C25*(1+$M$127)</f>
        <v>275699401.79850757</v>
      </c>
      <c r="E150" s="75">
        <f>'6.Cons Profit &amp; Loss'!D25*(1+$M$127)</f>
        <v>303196302.91755795</v>
      </c>
      <c r="F150" s="75">
        <f>'6.Cons Profit &amp; Loss'!E25*(1+$M$127)</f>
        <v>332753645.64401722</v>
      </c>
      <c r="G150" s="75">
        <f>'6.Cons Profit &amp; Loss'!F25*(1+$M$127)</f>
        <v>364508731.88582826</v>
      </c>
      <c r="H150" s="75">
        <f>'6.Cons Profit &amp; Loss'!G25*(1+$M$127)</f>
        <v>398607442.63771075</v>
      </c>
      <c r="I150" s="75">
        <f>'6.Cons Profit &amp; Loss'!H25*(1+$M$127)</f>
        <v>435204752.63506645</v>
      </c>
    </row>
    <row r="151" spans="2:15">
      <c r="B151" s="74" t="s">
        <v>363</v>
      </c>
      <c r="C151" s="75">
        <f t="shared" ref="C151:I151" si="18">SUM(C149:C150)</f>
        <v>243771683.19156727</v>
      </c>
      <c r="D151" s="75">
        <f t="shared" si="18"/>
        <v>279711451.79850757</v>
      </c>
      <c r="E151" s="75">
        <f t="shared" si="18"/>
        <v>307408955.41755795</v>
      </c>
      <c r="F151" s="75">
        <f t="shared" si="18"/>
        <v>337176930.76901722</v>
      </c>
      <c r="G151" s="75">
        <f t="shared" si="18"/>
        <v>369153181.26707828</v>
      </c>
      <c r="H151" s="75">
        <f t="shared" si="18"/>
        <v>403484114.48802328</v>
      </c>
      <c r="I151" s="75">
        <f t="shared" si="18"/>
        <v>440325258.07789457</v>
      </c>
    </row>
    <row r="152" spans="2:15">
      <c r="B152" s="77" t="s">
        <v>364</v>
      </c>
      <c r="C152" s="78">
        <f t="shared" ref="C152:I152" si="19">+C147-C151</f>
        <v>-5515432.851251781</v>
      </c>
      <c r="D152" s="78">
        <f t="shared" si="19"/>
        <v>-4562377.0572885871</v>
      </c>
      <c r="E152" s="78">
        <f t="shared" si="19"/>
        <v>-5051651.3142780066</v>
      </c>
      <c r="F152" s="78">
        <f t="shared" si="19"/>
        <v>-5578447.054323256</v>
      </c>
      <c r="G152" s="78">
        <f t="shared" si="19"/>
        <v>-6145293.2400870919</v>
      </c>
      <c r="H152" s="78">
        <f t="shared" si="19"/>
        <v>-6754877.9267918468</v>
      </c>
      <c r="I152" s="78">
        <f t="shared" si="19"/>
        <v>-7410057.8490663171</v>
      </c>
      <c r="N152" s="4"/>
      <c r="O152" s="6"/>
    </row>
    <row r="153" spans="2:15">
      <c r="B153" s="79"/>
      <c r="C153" s="80"/>
      <c r="D153" s="80"/>
      <c r="E153" s="80"/>
      <c r="F153" s="80"/>
      <c r="G153" s="80"/>
      <c r="H153" s="80"/>
      <c r="I153" s="80"/>
    </row>
    <row r="154" spans="2:15">
      <c r="B154" s="82" t="s">
        <v>366</v>
      </c>
      <c r="C154" s="83" t="s">
        <v>2</v>
      </c>
      <c r="D154" s="83" t="s">
        <v>3</v>
      </c>
      <c r="E154" s="83" t="s">
        <v>4</v>
      </c>
      <c r="F154" s="83" t="s">
        <v>5</v>
      </c>
      <c r="G154" s="83" t="s">
        <v>6</v>
      </c>
      <c r="H154" s="83" t="s">
        <v>171</v>
      </c>
      <c r="I154" s="83" t="s">
        <v>170</v>
      </c>
    </row>
    <row r="155" spans="2:15">
      <c r="B155" s="74" t="str">
        <f t="shared" ref="B155:B161" si="20">B140</f>
        <v>Faclitiy 1 - Cleaning &amp; Grading</v>
      </c>
      <c r="C155" s="339">
        <f>'6.Cons Profit &amp; Loss'!B8*(1-$M$126)</f>
        <v>8.3078924999999998E-2</v>
      </c>
      <c r="D155" s="339">
        <f>'6.Cons Profit &amp; Loss'!C8*(1-$M$126)</f>
        <v>9.1151550000000012E-2</v>
      </c>
      <c r="E155" s="339">
        <f>'6.Cons Profit &amp; Loss'!D8*(1-$M$126)</f>
        <v>9.5709127500000005E-2</v>
      </c>
      <c r="F155" s="339">
        <f>'6.Cons Profit &amp; Loss'!E8*(1-$M$126)</f>
        <v>0.10049458387500003</v>
      </c>
      <c r="G155" s="339">
        <f>'6.Cons Profit &amp; Loss'!F8*(1-$M$126)</f>
        <v>0.10551931306875002</v>
      </c>
      <c r="H155" s="339">
        <f>'6.Cons Profit &amp; Loss'!G8*(1-$M$126)</f>
        <v>0.11079527872218756</v>
      </c>
      <c r="I155" s="339">
        <f>'6.Cons Profit &amp; Loss'!H8*(1-$M$126)</f>
        <v>0.11633504265829692</v>
      </c>
    </row>
    <row r="156" spans="2:15">
      <c r="B156" s="74" t="str">
        <f t="shared" si="20"/>
        <v>Faclitiy 2 - Processing Unit- Dal Mill</v>
      </c>
      <c r="C156" s="339">
        <f>'6.Cons Profit &amp; Loss'!B9*(1-$M$126)</f>
        <v>0.24022079999999996</v>
      </c>
      <c r="D156" s="339">
        <f>'6.Cons Profit &amp; Loss'!C9*(1-$M$126)</f>
        <v>0.2567565</v>
      </c>
      <c r="E156" s="339">
        <f>'6.Cons Profit &amp; Loss'!D9*(1-$M$126)</f>
        <v>0.26959432500000002</v>
      </c>
      <c r="F156" s="339">
        <f>'6.Cons Profit &amp; Loss'!E9*(1-$M$126)</f>
        <v>0.28307404125000002</v>
      </c>
      <c r="G156" s="339">
        <f>'6.Cons Profit &amp; Loss'!F9*(1-$M$126)</f>
        <v>0.29722774331250001</v>
      </c>
      <c r="H156" s="339">
        <f>'6.Cons Profit &amp; Loss'!G9*(1-$M$126)</f>
        <v>0.31208913047812509</v>
      </c>
      <c r="I156" s="339">
        <f>'6.Cons Profit &amp; Loss'!H9*(1-$M$126)</f>
        <v>0.32769358700203138</v>
      </c>
    </row>
    <row r="157" spans="2:15">
      <c r="B157" s="74" t="str">
        <f t="shared" si="20"/>
        <v>Faclitiy 3 - Warehouse</v>
      </c>
      <c r="C157" s="339">
        <f>'6.Cons Profit &amp; Loss'!B10*(1-$M$126)</f>
        <v>0</v>
      </c>
      <c r="D157" s="339">
        <f>'6.Cons Profit &amp; Loss'!C10*(1-$M$126)</f>
        <v>0</v>
      </c>
      <c r="E157" s="339">
        <f>'6.Cons Profit &amp; Loss'!D10*(1-$M$126)</f>
        <v>0</v>
      </c>
      <c r="F157" s="339">
        <f>'6.Cons Profit &amp; Loss'!E10*(1-$M$126)</f>
        <v>0</v>
      </c>
      <c r="G157" s="339">
        <f>'6.Cons Profit &amp; Loss'!F10*(1-$M$126)</f>
        <v>0</v>
      </c>
      <c r="H157" s="339">
        <f>'6.Cons Profit &amp; Loss'!G10*(1-$M$126)</f>
        <v>0</v>
      </c>
      <c r="I157" s="339">
        <f>'6.Cons Profit &amp; Loss'!H10*(1-$M$126)</f>
        <v>0</v>
      </c>
    </row>
    <row r="158" spans="2:15">
      <c r="B158" s="74" t="str">
        <f t="shared" si="20"/>
        <v xml:space="preserve">Faclitiy 4 - Custom Hiring </v>
      </c>
      <c r="C158" s="339">
        <f>'6.Cons Profit &amp; Loss'!B11*(1-$M$126)</f>
        <v>6128925</v>
      </c>
      <c r="D158" s="339">
        <f>'6.Cons Profit &amp; Loss'!C11*(1-$M$126)</f>
        <v>6435371.25</v>
      </c>
      <c r="E158" s="339">
        <f>'6.Cons Profit &amp; Loss'!D11*(1-$M$126)</f>
        <v>6757139.8125</v>
      </c>
      <c r="F158" s="339">
        <f>'6.Cons Profit &amp; Loss'!E11*(1-$M$126)</f>
        <v>7094996.8031250006</v>
      </c>
      <c r="G158" s="339">
        <f>'6.Cons Profit &amp; Loss'!F11*(1-$M$126)</f>
        <v>7449746.6432812531</v>
      </c>
      <c r="H158" s="339">
        <f>'6.Cons Profit &amp; Loss'!G11*(1-$M$126)</f>
        <v>7822233.9754453152</v>
      </c>
      <c r="I158" s="339">
        <f>'6.Cons Profit &amp; Loss'!H11*(1-$M$126)</f>
        <v>8213345.6742175799</v>
      </c>
    </row>
    <row r="159" spans="2:15">
      <c r="B159" s="74" t="str">
        <f t="shared" si="20"/>
        <v>Faclitiy 5 - Agri Input Centre</v>
      </c>
      <c r="C159" s="339">
        <f>'6.Cons Profit &amp; Loss'!B12*(1-$M$126)</f>
        <v>220214512.5</v>
      </c>
      <c r="D159" s="339">
        <f>'6.Cons Profit &amp; Loss'!C12*(1-$M$126)</f>
        <v>254956249.40625</v>
      </c>
      <c r="E159" s="339">
        <f>'6.Cons Profit &amp; Loss'!D12*(1-$M$126)</f>
        <v>280482298.72031248</v>
      </c>
      <c r="F159" s="339">
        <f>'6.Cons Profit &amp; Loss'!E12*(1-$M$126)</f>
        <v>307923562.34226561</v>
      </c>
      <c r="G159" s="339">
        <f>'6.Cons Profit &amp; Loss'!F12*(1-$M$126)</f>
        <v>337407746.57961333</v>
      </c>
      <c r="H159" s="339">
        <f>'6.Cons Profit &amp; Loss'!G12*(1-$M$126)</f>
        <v>369070540.33484012</v>
      </c>
      <c r="I159" s="339">
        <f>'6.Cons Profit &amp; Loss'!H12*(1-$M$126)</f>
        <v>403056094.09914058</v>
      </c>
    </row>
    <row r="160" spans="2:15">
      <c r="B160" s="74" t="str">
        <f t="shared" si="20"/>
        <v>Facility 6 - Processing Unit - Horti Commodity</v>
      </c>
      <c r="C160" s="339">
        <f>'6.Cons Profit &amp; Loss'!B13*(1-$M$126)</f>
        <v>0</v>
      </c>
      <c r="D160" s="339">
        <f>'6.Cons Profit &amp; Loss'!C13*(1-$M$126)</f>
        <v>0</v>
      </c>
      <c r="E160" s="339">
        <f>'6.Cons Profit &amp; Loss'!D13*(1-$M$126)</f>
        <v>0</v>
      </c>
      <c r="F160" s="339">
        <f>'6.Cons Profit &amp; Loss'!E13*(1-$M$126)</f>
        <v>0</v>
      </c>
      <c r="G160" s="339">
        <f>'6.Cons Profit &amp; Loss'!F13*(1-$M$126)</f>
        <v>0</v>
      </c>
      <c r="H160" s="339">
        <f>'6.Cons Profit &amp; Loss'!G13*(1-$M$126)</f>
        <v>0</v>
      </c>
      <c r="I160" s="339">
        <f>'6.Cons Profit &amp; Loss'!H13*(1-$M$126)</f>
        <v>0</v>
      </c>
    </row>
    <row r="161" spans="2:9">
      <c r="B161" s="74">
        <f t="shared" si="20"/>
        <v>0</v>
      </c>
      <c r="C161" s="339">
        <f>'6.Cons Profit &amp; Loss'!B14*(1-$M$126)</f>
        <v>0</v>
      </c>
      <c r="D161" s="339">
        <f>'6.Cons Profit &amp; Loss'!C14*(1-$M$126)</f>
        <v>0</v>
      </c>
      <c r="E161" s="339">
        <f>'6.Cons Profit &amp; Loss'!D14*(1-$M$126)</f>
        <v>0</v>
      </c>
      <c r="F161" s="339">
        <f>'6.Cons Profit &amp; Loss'!E14*(1-$M$126)</f>
        <v>0</v>
      </c>
      <c r="G161" s="339">
        <f>'6.Cons Profit &amp; Loss'!F14*(1-$M$126)</f>
        <v>0</v>
      </c>
      <c r="H161" s="339">
        <f>'6.Cons Profit &amp; Loss'!G14*(1-$M$126)</f>
        <v>0</v>
      </c>
      <c r="I161" s="339">
        <f>'6.Cons Profit &amp; Loss'!H14*(1-$M$126)</f>
        <v>0</v>
      </c>
    </row>
    <row r="162" spans="2:9">
      <c r="B162" s="74" t="s">
        <v>360</v>
      </c>
      <c r="C162" s="339">
        <f>SUM(C155:C161)</f>
        <v>226343437.82329974</v>
      </c>
      <c r="D162" s="339">
        <f t="shared" ref="D162:I162" si="21">SUM(D155:D161)</f>
        <v>261391621.00415805</v>
      </c>
      <c r="E162" s="339">
        <f t="shared" si="21"/>
        <v>287239438.89811593</v>
      </c>
      <c r="F162" s="339">
        <f t="shared" si="21"/>
        <v>315018559.52895921</v>
      </c>
      <c r="G162" s="339">
        <f t="shared" si="21"/>
        <v>344857493.62564164</v>
      </c>
      <c r="H162" s="339">
        <f t="shared" si="21"/>
        <v>376892774.73316985</v>
      </c>
      <c r="I162" s="339">
        <f t="shared" si="21"/>
        <v>411269440.21738678</v>
      </c>
    </row>
    <row r="163" spans="2:9">
      <c r="B163" s="74" t="s">
        <v>361</v>
      </c>
      <c r="C163" s="339"/>
      <c r="D163" s="339"/>
      <c r="E163" s="339"/>
      <c r="F163" s="339"/>
      <c r="G163" s="339"/>
      <c r="H163" s="339"/>
      <c r="I163" s="339"/>
    </row>
    <row r="164" spans="2:9">
      <c r="B164" s="74" t="s">
        <v>362</v>
      </c>
      <c r="C164" s="339">
        <f>'6.Cons Profit &amp; Loss'!B36</f>
        <v>3821000</v>
      </c>
      <c r="D164" s="339">
        <f>'6.Cons Profit &amp; Loss'!C36</f>
        <v>4012050</v>
      </c>
      <c r="E164" s="339">
        <f>'6.Cons Profit &amp; Loss'!D36</f>
        <v>4212652.5</v>
      </c>
      <c r="F164" s="339">
        <f>'6.Cons Profit &amp; Loss'!E36</f>
        <v>4423285.1250000009</v>
      </c>
      <c r="G164" s="339">
        <f>'6.Cons Profit &amp; Loss'!F36</f>
        <v>4644449.3812500006</v>
      </c>
      <c r="H164" s="339">
        <f>'6.Cons Profit &amp; Loss'!G36</f>
        <v>4876671.8503125012</v>
      </c>
      <c r="I164" s="339">
        <f>'6.Cons Profit &amp; Loss'!H36</f>
        <v>5120505.4428281263</v>
      </c>
    </row>
    <row r="165" spans="2:9">
      <c r="B165" s="74" t="s">
        <v>316</v>
      </c>
      <c r="C165" s="339">
        <f>'6.Cons Profit &amp; Loss'!B25*(1-$M$126)</f>
        <v>217098237.17332277</v>
      </c>
      <c r="D165" s="339">
        <f>'6.Cons Profit &amp; Loss'!C25*(1-$M$126)</f>
        <v>249442315.91293538</v>
      </c>
      <c r="E165" s="339">
        <f>'6.Cons Profit &amp; Loss'!D25*(1-$M$126)</f>
        <v>274320464.5444572</v>
      </c>
      <c r="F165" s="339">
        <f>'6.Cons Profit &amp; Loss'!E25*(1-$M$126)</f>
        <v>301062822.24934888</v>
      </c>
      <c r="G165" s="339">
        <f>'6.Cons Profit &amp; Loss'!F25*(1-$M$126)</f>
        <v>329793614.56336844</v>
      </c>
      <c r="H165" s="339">
        <f>'6.Cons Profit &amp; Loss'!G25*(1-$M$126)</f>
        <v>360644829.05316681</v>
      </c>
      <c r="I165" s="339">
        <f>'6.Cons Profit &amp; Loss'!H25*(1-$M$126)</f>
        <v>393756680.95553631</v>
      </c>
    </row>
    <row r="166" spans="2:9">
      <c r="B166" s="74" t="s">
        <v>363</v>
      </c>
      <c r="C166" s="339">
        <f t="shared" ref="C166:I166" si="22">SUM(C164:C165)</f>
        <v>220919237.17332277</v>
      </c>
      <c r="D166" s="339">
        <f t="shared" si="22"/>
        <v>253454365.91293538</v>
      </c>
      <c r="E166" s="339">
        <f t="shared" si="22"/>
        <v>278533117.0444572</v>
      </c>
      <c r="F166" s="339">
        <f t="shared" si="22"/>
        <v>305486107.37434888</v>
      </c>
      <c r="G166" s="339">
        <f t="shared" si="22"/>
        <v>334438063.94461846</v>
      </c>
      <c r="H166" s="339">
        <f t="shared" si="22"/>
        <v>365521500.90347934</v>
      </c>
      <c r="I166" s="339">
        <f t="shared" si="22"/>
        <v>398877186.39836442</v>
      </c>
    </row>
    <row r="167" spans="2:9">
      <c r="B167" s="77" t="s">
        <v>364</v>
      </c>
      <c r="C167" s="341">
        <f t="shared" ref="C167:I167" si="23">+C162-C166</f>
        <v>5424200.6499769688</v>
      </c>
      <c r="D167" s="341">
        <f t="shared" si="23"/>
        <v>7937255.0912226737</v>
      </c>
      <c r="E167" s="341">
        <f t="shared" si="23"/>
        <v>8706321.8536587358</v>
      </c>
      <c r="F167" s="341">
        <f t="shared" si="23"/>
        <v>9532452.1546103358</v>
      </c>
      <c r="G167" s="341">
        <f t="shared" si="23"/>
        <v>10419429.68102318</v>
      </c>
      <c r="H167" s="341">
        <f t="shared" si="23"/>
        <v>11371273.829690516</v>
      </c>
      <c r="I167" s="341">
        <f t="shared" si="23"/>
        <v>12392253.819022357</v>
      </c>
    </row>
    <row r="168" spans="2:9">
      <c r="B168" s="13"/>
      <c r="C168" s="80"/>
      <c r="D168" s="80"/>
      <c r="E168" s="80"/>
      <c r="F168" s="80"/>
      <c r="G168" s="80"/>
      <c r="H168" s="80"/>
      <c r="I168" s="80"/>
    </row>
    <row r="169" spans="2:9">
      <c r="B169" s="82" t="s">
        <v>367</v>
      </c>
      <c r="C169" s="83" t="s">
        <v>2</v>
      </c>
      <c r="D169" s="83" t="s">
        <v>3</v>
      </c>
      <c r="E169" s="83" t="s">
        <v>4</v>
      </c>
      <c r="F169" s="83" t="s">
        <v>5</v>
      </c>
      <c r="G169" s="83" t="s">
        <v>6</v>
      </c>
      <c r="H169" s="83" t="s">
        <v>171</v>
      </c>
      <c r="I169" s="83" t="s">
        <v>170</v>
      </c>
    </row>
    <row r="170" spans="2:9">
      <c r="B170" s="74" t="str">
        <f t="shared" ref="B170:B176" si="24">B155</f>
        <v>Faclitiy 1 - Cleaning &amp; Grading</v>
      </c>
      <c r="C170" s="76">
        <f>'6.Cons Profit &amp; Loss'!B8</f>
        <v>8.7451500000000001E-2</v>
      </c>
      <c r="D170" s="76">
        <f>'6.Cons Profit &amp; Loss'!C8</f>
        <v>9.594900000000002E-2</v>
      </c>
      <c r="E170" s="76">
        <f>'6.Cons Profit &amp; Loss'!D8</f>
        <v>0.10074645000000002</v>
      </c>
      <c r="F170" s="76">
        <f>'6.Cons Profit &amp; Loss'!E8</f>
        <v>0.10578377250000004</v>
      </c>
      <c r="G170" s="76">
        <f>'6.Cons Profit &amp; Loss'!F8</f>
        <v>0.11107296112500004</v>
      </c>
      <c r="H170" s="76">
        <f>'6.Cons Profit &amp; Loss'!G8</f>
        <v>0.11662660918125006</v>
      </c>
      <c r="I170" s="76">
        <f>'6.Cons Profit &amp; Loss'!H8</f>
        <v>0.12245793964031255</v>
      </c>
    </row>
    <row r="171" spans="2:9">
      <c r="B171" s="74" t="str">
        <f t="shared" si="24"/>
        <v>Faclitiy 2 - Processing Unit- Dal Mill</v>
      </c>
      <c r="C171" s="76">
        <f>'6.Cons Profit &amp; Loss'!B9</f>
        <v>0.25286399999999998</v>
      </c>
      <c r="D171" s="76">
        <f>'6.Cons Profit &amp; Loss'!C9</f>
        <v>0.27027000000000001</v>
      </c>
      <c r="E171" s="76">
        <f>'6.Cons Profit &amp; Loss'!D9</f>
        <v>0.28378350000000002</v>
      </c>
      <c r="F171" s="76">
        <f>'6.Cons Profit &amp; Loss'!E9</f>
        <v>0.29797267500000002</v>
      </c>
      <c r="G171" s="76">
        <f>'6.Cons Profit &amp; Loss'!F9</f>
        <v>0.31287130875000002</v>
      </c>
      <c r="H171" s="76">
        <f>'6.Cons Profit &amp; Loss'!G9</f>
        <v>0.32851487418750008</v>
      </c>
      <c r="I171" s="76">
        <f>'6.Cons Profit &amp; Loss'!H9</f>
        <v>0.34494061789687513</v>
      </c>
    </row>
    <row r="172" spans="2:9">
      <c r="B172" s="74" t="str">
        <f t="shared" si="24"/>
        <v>Faclitiy 3 - Warehouse</v>
      </c>
      <c r="C172" s="76">
        <f>'6.Cons Profit &amp; Loss'!B10</f>
        <v>0</v>
      </c>
      <c r="D172" s="76">
        <f>'6.Cons Profit &amp; Loss'!C10</f>
        <v>0</v>
      </c>
      <c r="E172" s="76">
        <f>'6.Cons Profit &amp; Loss'!D10</f>
        <v>0</v>
      </c>
      <c r="F172" s="76">
        <f>'6.Cons Profit &amp; Loss'!E10</f>
        <v>0</v>
      </c>
      <c r="G172" s="76">
        <f>'6.Cons Profit &amp; Loss'!F10</f>
        <v>0</v>
      </c>
      <c r="H172" s="76">
        <f>'6.Cons Profit &amp; Loss'!G10</f>
        <v>0</v>
      </c>
      <c r="I172" s="76">
        <f>'6.Cons Profit &amp; Loss'!H10</f>
        <v>0</v>
      </c>
    </row>
    <row r="173" spans="2:9">
      <c r="B173" s="74" t="str">
        <f t="shared" si="24"/>
        <v xml:space="preserve">Faclitiy 4 - Custom Hiring </v>
      </c>
      <c r="C173" s="76">
        <f>'6.Cons Profit &amp; Loss'!B11</f>
        <v>6451500</v>
      </c>
      <c r="D173" s="76">
        <f>'6.Cons Profit &amp; Loss'!C11</f>
        <v>6774075</v>
      </c>
      <c r="E173" s="76">
        <f>'6.Cons Profit &amp; Loss'!D11</f>
        <v>7112778.75</v>
      </c>
      <c r="F173" s="76">
        <f>'6.Cons Profit &amp; Loss'!E11</f>
        <v>7468417.6875000009</v>
      </c>
      <c r="G173" s="76">
        <f>'6.Cons Profit &amp; Loss'!F11</f>
        <v>7841838.5718750032</v>
      </c>
      <c r="H173" s="76">
        <f>'6.Cons Profit &amp; Loss'!G11</f>
        <v>8233930.5004687533</v>
      </c>
      <c r="I173" s="76">
        <f>'6.Cons Profit &amp; Loss'!H11</f>
        <v>8645627.0254921895</v>
      </c>
    </row>
    <row r="174" spans="2:9">
      <c r="B174" s="74" t="str">
        <f t="shared" si="24"/>
        <v>Faclitiy 5 - Agri Input Centre</v>
      </c>
      <c r="C174" s="76">
        <f>'6.Cons Profit &amp; Loss'!B12</f>
        <v>231804750</v>
      </c>
      <c r="D174" s="76">
        <f>'6.Cons Profit &amp; Loss'!C12</f>
        <v>268374999.375</v>
      </c>
      <c r="E174" s="76">
        <f>'6.Cons Profit &amp; Loss'!D12</f>
        <v>295244524.96875</v>
      </c>
      <c r="F174" s="76">
        <f>'6.Cons Profit &amp; Loss'!E12</f>
        <v>324130065.62343752</v>
      </c>
      <c r="G174" s="76">
        <f>'6.Cons Profit &amp; Loss'!F12</f>
        <v>355166049.03117192</v>
      </c>
      <c r="H174" s="76">
        <f>'6.Cons Profit &amp; Loss'!G12</f>
        <v>388495305.61562121</v>
      </c>
      <c r="I174" s="76">
        <f>'6.Cons Profit &amp; Loss'!H12</f>
        <v>424269572.73593748</v>
      </c>
    </row>
    <row r="175" spans="2:9">
      <c r="B175" s="74" t="str">
        <f t="shared" si="24"/>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360</v>
      </c>
      <c r="C177" s="76">
        <f>SUM(C170:C176)</f>
        <v>238256250.34031549</v>
      </c>
      <c r="D177" s="76">
        <f t="shared" ref="D177:I177" si="25">SUM(D170:D176)</f>
        <v>275149074.74121898</v>
      </c>
      <c r="E177" s="76">
        <f t="shared" si="25"/>
        <v>302357304.10327995</v>
      </c>
      <c r="F177" s="76">
        <f t="shared" si="25"/>
        <v>331598483.71469396</v>
      </c>
      <c r="G177" s="76">
        <f t="shared" si="25"/>
        <v>363007888.02699119</v>
      </c>
      <c r="H177" s="76">
        <f t="shared" si="25"/>
        <v>396729236.56123143</v>
      </c>
      <c r="I177" s="76">
        <f t="shared" si="25"/>
        <v>432915200.22882825</v>
      </c>
    </row>
    <row r="178" spans="2:13">
      <c r="B178" s="74" t="s">
        <v>361</v>
      </c>
      <c r="C178" s="76"/>
      <c r="D178" s="76"/>
      <c r="E178" s="76"/>
      <c r="F178" s="76"/>
      <c r="G178" s="76"/>
      <c r="H178" s="76"/>
      <c r="I178" s="76"/>
    </row>
    <row r="179" spans="2:13">
      <c r="B179" s="74" t="s">
        <v>362</v>
      </c>
      <c r="C179" s="76">
        <f>'6.Cons Profit &amp; Loss'!B36</f>
        <v>3821000</v>
      </c>
      <c r="D179" s="76">
        <f>'6.Cons Profit &amp; Loss'!C36</f>
        <v>4012050</v>
      </c>
      <c r="E179" s="76">
        <f>'6.Cons Profit &amp; Loss'!D36</f>
        <v>4212652.5</v>
      </c>
      <c r="F179" s="76">
        <f>'6.Cons Profit &amp; Loss'!E36</f>
        <v>4423285.1250000009</v>
      </c>
      <c r="G179" s="76">
        <f>'6.Cons Profit &amp; Loss'!F36</f>
        <v>4644449.3812500006</v>
      </c>
      <c r="H179" s="76">
        <f>'6.Cons Profit &amp; Loss'!G36</f>
        <v>4876671.8503125012</v>
      </c>
      <c r="I179" s="76">
        <f>'6.Cons Profit &amp; Loss'!H36</f>
        <v>5120505.4428281263</v>
      </c>
    </row>
    <row r="180" spans="2:13">
      <c r="B180" s="74" t="s">
        <v>316</v>
      </c>
      <c r="C180" s="76">
        <f>'6.Cons Profit &amp; Loss'!B25*(1-$M$127)</f>
        <v>217098237.17332277</v>
      </c>
      <c r="D180" s="76">
        <f>'6.Cons Profit &amp; Loss'!C25*(1-$M$127)</f>
        <v>249442315.91293538</v>
      </c>
      <c r="E180" s="76">
        <f>'6.Cons Profit &amp; Loss'!D25*(1-$M$127)</f>
        <v>274320464.5444572</v>
      </c>
      <c r="F180" s="76">
        <f>'6.Cons Profit &amp; Loss'!E25*(1-$M$127)</f>
        <v>301062822.24934888</v>
      </c>
      <c r="G180" s="76">
        <f>'6.Cons Profit &amp; Loss'!F25*(1-$M$127)</f>
        <v>329793614.56336844</v>
      </c>
      <c r="H180" s="76">
        <f>'6.Cons Profit &amp; Loss'!G25*(1-$M$127)</f>
        <v>360644829.05316681</v>
      </c>
      <c r="I180" s="76">
        <f>'6.Cons Profit &amp; Loss'!H25*(1-$M$127)</f>
        <v>393756680.95553631</v>
      </c>
    </row>
    <row r="181" spans="2:13">
      <c r="B181" s="74" t="s">
        <v>363</v>
      </c>
      <c r="C181" s="76">
        <f t="shared" ref="C181:I181" si="26">SUM(C179:C180)</f>
        <v>220919237.17332277</v>
      </c>
      <c r="D181" s="76">
        <f t="shared" si="26"/>
        <v>253454365.91293538</v>
      </c>
      <c r="E181" s="76">
        <f t="shared" si="26"/>
        <v>278533117.0444572</v>
      </c>
      <c r="F181" s="76">
        <f t="shared" si="26"/>
        <v>305486107.37434888</v>
      </c>
      <c r="G181" s="76">
        <f t="shared" si="26"/>
        <v>334438063.94461846</v>
      </c>
      <c r="H181" s="76">
        <f t="shared" si="26"/>
        <v>365521500.90347934</v>
      </c>
      <c r="I181" s="76">
        <f t="shared" si="26"/>
        <v>398877186.39836442</v>
      </c>
    </row>
    <row r="182" spans="2:13">
      <c r="B182" s="77" t="s">
        <v>364</v>
      </c>
      <c r="C182" s="340">
        <f t="shared" ref="C182:I182" si="27">+C177-C181</f>
        <v>17337013.166992724</v>
      </c>
      <c r="D182" s="340">
        <f t="shared" si="27"/>
        <v>21694708.828283608</v>
      </c>
      <c r="E182" s="340">
        <f t="shared" si="27"/>
        <v>23824187.058822751</v>
      </c>
      <c r="F182" s="340">
        <f t="shared" si="27"/>
        <v>26112376.340345085</v>
      </c>
      <c r="G182" s="340">
        <f t="shared" si="27"/>
        <v>28569824.082372725</v>
      </c>
      <c r="H182" s="340">
        <f t="shared" si="27"/>
        <v>31207735.657752097</v>
      </c>
      <c r="I182" s="340">
        <f t="shared" si="27"/>
        <v>34038013.830463827</v>
      </c>
    </row>
    <row r="184" spans="2:13" ht="41.15" customHeight="1">
      <c r="B184" s="438" t="s">
        <v>559</v>
      </c>
      <c r="C184" s="438"/>
      <c r="D184" s="438"/>
      <c r="E184" s="438"/>
      <c r="F184" s="438"/>
      <c r="G184" s="438"/>
      <c r="H184" s="438"/>
      <c r="I184" s="438"/>
      <c r="J184" s="347"/>
      <c r="K184" s="347"/>
      <c r="L184" s="347"/>
      <c r="M184" s="347"/>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P68"/>
  <sheetViews>
    <sheetView view="pageBreakPreview" zoomScale="80" zoomScaleSheetLayoutView="80" workbookViewId="0">
      <selection activeCell="K10" sqref="K10"/>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2" spans="1:14">
      <c r="N2" t="s">
        <v>714</v>
      </c>
    </row>
    <row r="3" spans="1:14" ht="17.5">
      <c r="A3" s="419" t="s">
        <v>607</v>
      </c>
      <c r="B3" s="419"/>
      <c r="C3" s="419"/>
      <c r="D3" s="419"/>
      <c r="E3" s="419"/>
      <c r="F3" s="419"/>
      <c r="G3" s="419"/>
      <c r="H3" s="419"/>
      <c r="I3" s="419"/>
      <c r="J3" s="419"/>
      <c r="K3" s="419"/>
      <c r="L3" s="419"/>
    </row>
    <row r="4" spans="1:14" ht="17.5">
      <c r="A4" s="419" t="s">
        <v>608</v>
      </c>
      <c r="B4" s="419"/>
      <c r="C4" s="419"/>
      <c r="D4" s="419"/>
      <c r="E4" s="419"/>
      <c r="F4" s="419"/>
      <c r="G4" s="419"/>
      <c r="H4" s="419"/>
      <c r="I4" s="419"/>
      <c r="J4" s="419"/>
      <c r="K4" s="419"/>
      <c r="L4" s="419"/>
      <c r="N4" t="s">
        <v>716</v>
      </c>
    </row>
    <row r="5" spans="1:14">
      <c r="A5" s="94"/>
      <c r="B5" s="94"/>
      <c r="C5" s="94"/>
      <c r="N5" t="s">
        <v>717</v>
      </c>
    </row>
    <row r="6" spans="1:14">
      <c r="A6" s="94"/>
      <c r="B6" s="94"/>
      <c r="C6" s="94"/>
      <c r="N6" t="s">
        <v>712</v>
      </c>
    </row>
    <row r="7" spans="1:14" ht="43.5">
      <c r="A7" s="293" t="s">
        <v>146</v>
      </c>
      <c r="B7" s="294" t="s">
        <v>441</v>
      </c>
      <c r="C7" s="294" t="s">
        <v>446</v>
      </c>
      <c r="D7" s="294" t="s">
        <v>444</v>
      </c>
      <c r="E7" s="294" t="s">
        <v>445</v>
      </c>
      <c r="F7" s="294" t="s">
        <v>310</v>
      </c>
      <c r="G7" s="294" t="s">
        <v>447</v>
      </c>
      <c r="H7" s="294" t="s">
        <v>448</v>
      </c>
      <c r="I7" s="294" t="s">
        <v>449</v>
      </c>
      <c r="J7" s="296" t="s">
        <v>452</v>
      </c>
      <c r="K7" s="294" t="s">
        <v>450</v>
      </c>
      <c r="L7" s="296" t="s">
        <v>451</v>
      </c>
      <c r="M7" s="294" t="s">
        <v>454</v>
      </c>
      <c r="N7" t="s">
        <v>719</v>
      </c>
    </row>
    <row r="8" spans="1:14">
      <c r="A8" s="295">
        <v>1</v>
      </c>
      <c r="B8" s="289" t="s">
        <v>722</v>
      </c>
      <c r="C8" s="289">
        <v>3</v>
      </c>
      <c r="D8" s="289">
        <v>230</v>
      </c>
      <c r="E8" s="289">
        <v>6</v>
      </c>
      <c r="F8" s="298">
        <f>D8*E8*C8</f>
        <v>4140</v>
      </c>
      <c r="G8" s="289">
        <v>4</v>
      </c>
      <c r="H8" s="298">
        <f>F8/G8</f>
        <v>1035</v>
      </c>
      <c r="I8" s="289">
        <v>4</v>
      </c>
      <c r="J8" s="298">
        <f>H8*I8</f>
        <v>4140</v>
      </c>
      <c r="K8" s="289">
        <v>1400</v>
      </c>
      <c r="L8" s="289">
        <v>1</v>
      </c>
      <c r="M8" s="298">
        <f t="shared" ref="M8:M17" si="0">D8*L8</f>
        <v>230</v>
      </c>
    </row>
    <row r="9" spans="1:14">
      <c r="A9" s="295">
        <v>2</v>
      </c>
      <c r="B9" s="289" t="s">
        <v>723</v>
      </c>
      <c r="C9" s="289">
        <v>1</v>
      </c>
      <c r="D9" s="289">
        <v>230</v>
      </c>
      <c r="E9" s="289">
        <v>6</v>
      </c>
      <c r="F9" s="298">
        <f t="shared" ref="F9:F17" si="1">D9*E9*C9</f>
        <v>1380</v>
      </c>
      <c r="G9" s="289">
        <v>2</v>
      </c>
      <c r="H9" s="298">
        <f>F9/G9</f>
        <v>690</v>
      </c>
      <c r="I9" s="289">
        <v>6</v>
      </c>
      <c r="J9" s="298">
        <f t="shared" ref="J9:J17" si="2">H9*I9</f>
        <v>4140</v>
      </c>
      <c r="K9" s="289">
        <v>3050</v>
      </c>
      <c r="L9" s="289">
        <v>1</v>
      </c>
      <c r="M9" s="298">
        <f t="shared" si="0"/>
        <v>230</v>
      </c>
    </row>
    <row r="10" spans="1:14">
      <c r="A10" s="295">
        <v>3</v>
      </c>
      <c r="B10" s="289" t="s">
        <v>442</v>
      </c>
      <c r="C10" s="289">
        <v>1</v>
      </c>
      <c r="D10" s="289">
        <v>230</v>
      </c>
      <c r="E10" s="289">
        <v>6</v>
      </c>
      <c r="F10" s="298">
        <f t="shared" si="1"/>
        <v>1380</v>
      </c>
      <c r="G10" s="289">
        <v>2</v>
      </c>
      <c r="H10" s="298">
        <f>F10/G10</f>
        <v>690</v>
      </c>
      <c r="I10" s="289">
        <v>4</v>
      </c>
      <c r="J10" s="298">
        <f t="shared" si="2"/>
        <v>2760</v>
      </c>
      <c r="K10" s="289">
        <v>1400</v>
      </c>
      <c r="L10" s="289">
        <v>1</v>
      </c>
      <c r="M10" s="298">
        <f t="shared" si="0"/>
        <v>230</v>
      </c>
    </row>
    <row r="11" spans="1:14">
      <c r="A11" s="295">
        <v>4</v>
      </c>
      <c r="B11" s="289" t="s">
        <v>443</v>
      </c>
      <c r="C11" s="289">
        <v>1</v>
      </c>
      <c r="D11" s="289">
        <v>230</v>
      </c>
      <c r="E11" s="289">
        <v>6</v>
      </c>
      <c r="F11" s="298">
        <f t="shared" si="1"/>
        <v>1380</v>
      </c>
      <c r="G11" s="289">
        <v>2</v>
      </c>
      <c r="H11" s="298">
        <f>F11/G11</f>
        <v>690</v>
      </c>
      <c r="I11" s="289">
        <v>4</v>
      </c>
      <c r="J11" s="298">
        <f t="shared" si="2"/>
        <v>2760</v>
      </c>
      <c r="K11" s="289">
        <v>1400</v>
      </c>
      <c r="L11" s="289">
        <v>1</v>
      </c>
      <c r="M11" s="298">
        <f t="shared" si="0"/>
        <v>230</v>
      </c>
    </row>
    <row r="12" spans="1:14">
      <c r="A12" s="295">
        <v>5</v>
      </c>
      <c r="B12" s="289" t="s">
        <v>724</v>
      </c>
      <c r="C12" s="289">
        <v>1</v>
      </c>
      <c r="D12" s="289">
        <v>230</v>
      </c>
      <c r="E12" s="289">
        <v>6</v>
      </c>
      <c r="F12" s="298">
        <f t="shared" si="1"/>
        <v>1380</v>
      </c>
      <c r="G12" s="289">
        <v>2</v>
      </c>
      <c r="H12" s="298">
        <f>F12/G12</f>
        <v>690</v>
      </c>
      <c r="I12" s="289">
        <v>4</v>
      </c>
      <c r="J12" s="298">
        <f t="shared" si="2"/>
        <v>2760</v>
      </c>
      <c r="K12" s="289">
        <v>1400</v>
      </c>
      <c r="L12" s="289">
        <v>1</v>
      </c>
      <c r="M12" s="298">
        <f t="shared" si="0"/>
        <v>230</v>
      </c>
    </row>
    <row r="13" spans="1:14">
      <c r="A13" s="295">
        <v>6</v>
      </c>
      <c r="B13" s="10"/>
      <c r="C13" s="10"/>
      <c r="D13" s="10"/>
      <c r="E13" s="10"/>
      <c r="F13" s="298">
        <f t="shared" si="1"/>
        <v>0</v>
      </c>
      <c r="G13" s="10">
        <v>0</v>
      </c>
      <c r="H13" s="289"/>
      <c r="I13" s="10"/>
      <c r="J13" s="298">
        <f t="shared" si="2"/>
        <v>0</v>
      </c>
      <c r="K13" s="10"/>
      <c r="L13" s="298"/>
      <c r="M13" s="298">
        <f t="shared" si="0"/>
        <v>0</v>
      </c>
    </row>
    <row r="14" spans="1:14">
      <c r="A14" s="295">
        <v>7</v>
      </c>
      <c r="B14" s="10"/>
      <c r="C14" s="10"/>
      <c r="D14" s="10"/>
      <c r="E14" s="10"/>
      <c r="F14" s="298">
        <f t="shared" si="1"/>
        <v>0</v>
      </c>
      <c r="G14" s="10">
        <v>0</v>
      </c>
      <c r="H14" s="289"/>
      <c r="I14" s="10"/>
      <c r="J14" s="298">
        <f t="shared" si="2"/>
        <v>0</v>
      </c>
      <c r="K14" s="10"/>
      <c r="L14" s="298"/>
      <c r="M14" s="298">
        <f t="shared" si="0"/>
        <v>0</v>
      </c>
    </row>
    <row r="15" spans="1:14">
      <c r="A15" s="295">
        <v>8</v>
      </c>
      <c r="B15" s="10"/>
      <c r="C15" s="10"/>
      <c r="D15" s="10"/>
      <c r="E15" s="10"/>
      <c r="F15" s="298">
        <f t="shared" si="1"/>
        <v>0</v>
      </c>
      <c r="G15" s="10">
        <v>0</v>
      </c>
      <c r="H15" s="289"/>
      <c r="I15" s="10"/>
      <c r="J15" s="298">
        <f t="shared" si="2"/>
        <v>0</v>
      </c>
      <c r="K15" s="10"/>
      <c r="L15" s="298"/>
      <c r="M15" s="298">
        <f t="shared" si="0"/>
        <v>0</v>
      </c>
    </row>
    <row r="16" spans="1:14">
      <c r="A16" s="295">
        <v>9</v>
      </c>
      <c r="B16" s="10"/>
      <c r="C16" s="10"/>
      <c r="D16" s="10"/>
      <c r="E16" s="10"/>
      <c r="F16" s="298">
        <f t="shared" si="1"/>
        <v>0</v>
      </c>
      <c r="G16" s="10">
        <v>0</v>
      </c>
      <c r="H16" s="289"/>
      <c r="I16" s="10"/>
      <c r="J16" s="298">
        <f t="shared" si="2"/>
        <v>0</v>
      </c>
      <c r="K16" s="10"/>
      <c r="L16" s="298"/>
      <c r="M16" s="298">
        <f t="shared" si="0"/>
        <v>0</v>
      </c>
    </row>
    <row r="17" spans="1:16">
      <c r="A17" s="295">
        <v>10</v>
      </c>
      <c r="B17" s="10"/>
      <c r="C17" s="10"/>
      <c r="D17" s="10"/>
      <c r="E17" s="10"/>
      <c r="F17" s="298">
        <f t="shared" si="1"/>
        <v>0</v>
      </c>
      <c r="G17" s="10">
        <v>0</v>
      </c>
      <c r="H17" s="289"/>
      <c r="I17" s="10"/>
      <c r="J17" s="298">
        <f t="shared" si="2"/>
        <v>0</v>
      </c>
      <c r="K17" s="10"/>
      <c r="L17" s="298"/>
      <c r="M17" s="298">
        <f t="shared" si="0"/>
        <v>0</v>
      </c>
    </row>
    <row r="18" spans="1:16">
      <c r="A18" s="15"/>
      <c r="B18" s="15"/>
      <c r="C18" s="299"/>
      <c r="D18" s="299"/>
      <c r="E18" s="299"/>
      <c r="F18" s="299"/>
      <c r="G18" s="299"/>
      <c r="H18" s="299"/>
      <c r="I18" s="299"/>
      <c r="J18" s="299"/>
      <c r="K18" s="299"/>
      <c r="L18" s="299"/>
      <c r="M18" s="297"/>
    </row>
    <row r="19" spans="1:16">
      <c r="A19" s="15"/>
      <c r="B19" s="15"/>
      <c r="C19" s="299"/>
      <c r="D19" s="299"/>
      <c r="E19" s="299"/>
      <c r="F19" s="299"/>
      <c r="G19" s="299"/>
      <c r="H19" s="299"/>
      <c r="I19" s="299"/>
      <c r="J19" s="299"/>
      <c r="K19" s="299"/>
      <c r="L19" s="299"/>
      <c r="M19" s="297"/>
    </row>
    <row r="21" spans="1:16" ht="17.5">
      <c r="A21" s="419" t="s">
        <v>609</v>
      </c>
      <c r="B21" s="419"/>
      <c r="C21" s="419"/>
      <c r="D21" s="419"/>
      <c r="E21" s="419"/>
      <c r="F21" s="419"/>
      <c r="G21" s="419"/>
      <c r="H21" s="419"/>
      <c r="I21" s="419"/>
      <c r="J21" s="419"/>
      <c r="K21" s="419"/>
    </row>
    <row r="23" spans="1:16">
      <c r="A23" s="94"/>
      <c r="B23" s="94"/>
      <c r="C23" s="94"/>
      <c r="D23" s="94"/>
      <c r="E23" s="179">
        <v>1</v>
      </c>
      <c r="F23" s="184">
        <f>(E23*5%)+E23</f>
        <v>1.05</v>
      </c>
      <c r="G23" s="184">
        <f t="shared" ref="G23:K23" si="3">(F23*5%)+F23</f>
        <v>1.1025</v>
      </c>
      <c r="H23" s="184">
        <f t="shared" si="3"/>
        <v>1.1576250000000001</v>
      </c>
      <c r="I23" s="184">
        <f t="shared" si="3"/>
        <v>1.2155062500000002</v>
      </c>
      <c r="J23" s="184">
        <f t="shared" si="3"/>
        <v>1.2762815625000004</v>
      </c>
      <c r="K23" s="184">
        <f t="shared" si="3"/>
        <v>1.3400956406250004</v>
      </c>
    </row>
    <row r="24" spans="1:16">
      <c r="A24" s="148" t="s">
        <v>0</v>
      </c>
      <c r="B24" s="148" t="s">
        <v>133</v>
      </c>
      <c r="C24" s="148" t="s">
        <v>147</v>
      </c>
      <c r="D24" s="148" t="s">
        <v>154</v>
      </c>
      <c r="E24" s="120" t="s">
        <v>2</v>
      </c>
      <c r="F24" s="120" t="s">
        <v>3</v>
      </c>
      <c r="G24" s="120" t="s">
        <v>4</v>
      </c>
      <c r="H24" s="120" t="s">
        <v>5</v>
      </c>
      <c r="I24" s="120" t="s">
        <v>6</v>
      </c>
      <c r="J24" s="120" t="s">
        <v>171</v>
      </c>
      <c r="K24" s="120" t="s">
        <v>170</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6" t="s">
        <v>456</v>
      </c>
      <c r="B27" s="109"/>
      <c r="C27" s="300"/>
      <c r="D27" s="300"/>
      <c r="E27" s="96"/>
      <c r="F27" s="96"/>
      <c r="G27" s="96"/>
      <c r="H27" s="96"/>
      <c r="I27" s="96"/>
      <c r="J27" s="96"/>
      <c r="K27" s="96"/>
      <c r="P27" s="94"/>
    </row>
    <row r="28" spans="1:16">
      <c r="A28" s="109" t="str">
        <f>B8</f>
        <v>Tractor</v>
      </c>
      <c r="B28" s="109"/>
      <c r="C28" s="300">
        <f>H8</f>
        <v>1035</v>
      </c>
      <c r="D28" s="300">
        <f>K8</f>
        <v>1400</v>
      </c>
      <c r="E28" s="96">
        <f>$C$28*$D$28*E23</f>
        <v>1449000</v>
      </c>
      <c r="F28" s="96">
        <f t="shared" ref="F28:K28" si="4">$C$28*$D$28*F23</f>
        <v>1521450</v>
      </c>
      <c r="G28" s="96">
        <f t="shared" si="4"/>
        <v>1597522.5</v>
      </c>
      <c r="H28" s="96">
        <f t="shared" si="4"/>
        <v>1677398.6250000002</v>
      </c>
      <c r="I28" s="96">
        <f t="shared" si="4"/>
        <v>1761268.5562500004</v>
      </c>
      <c r="J28" s="96">
        <f t="shared" si="4"/>
        <v>1849331.9840625005</v>
      </c>
      <c r="K28" s="96">
        <f t="shared" si="4"/>
        <v>1941798.5832656256</v>
      </c>
      <c r="P28" s="94"/>
    </row>
    <row r="29" spans="1:16">
      <c r="A29" s="109" t="str">
        <f>B9</f>
        <v>Harvestor</v>
      </c>
      <c r="B29" s="109"/>
      <c r="C29" s="300">
        <f t="shared" ref="C29:C38" si="5">H9</f>
        <v>690</v>
      </c>
      <c r="D29" s="300">
        <f>K9</f>
        <v>3050</v>
      </c>
      <c r="E29" s="96">
        <f>$C$29*$D$29*E23</f>
        <v>2104500</v>
      </c>
      <c r="F29" s="96">
        <f t="shared" ref="F29:K29" si="6">$C$29*$D$29*F23</f>
        <v>2209725</v>
      </c>
      <c r="G29" s="96">
        <f t="shared" si="6"/>
        <v>2320211.25</v>
      </c>
      <c r="H29" s="96">
        <f t="shared" si="6"/>
        <v>2436221.8125000005</v>
      </c>
      <c r="I29" s="96">
        <f t="shared" si="6"/>
        <v>2558032.9031250007</v>
      </c>
      <c r="J29" s="96">
        <f t="shared" si="6"/>
        <v>2685934.5482812505</v>
      </c>
      <c r="K29" s="96">
        <f t="shared" si="6"/>
        <v>2820231.2756953132</v>
      </c>
      <c r="P29" s="94"/>
    </row>
    <row r="30" spans="1:16">
      <c r="A30" s="109" t="str">
        <f>B10</f>
        <v>Rotavator</v>
      </c>
      <c r="B30" s="109"/>
      <c r="C30" s="300">
        <f t="shared" si="5"/>
        <v>690</v>
      </c>
      <c r="D30" s="300">
        <f>K10</f>
        <v>1400</v>
      </c>
      <c r="E30" s="96">
        <f>$C$30*$D$30*E23</f>
        <v>966000</v>
      </c>
      <c r="F30" s="96">
        <f t="shared" ref="F30:K30" si="7">$C$30*$D$30*F23</f>
        <v>1014300</v>
      </c>
      <c r="G30" s="96">
        <f t="shared" si="7"/>
        <v>1065015</v>
      </c>
      <c r="H30" s="96">
        <f t="shared" si="7"/>
        <v>1118265.7500000002</v>
      </c>
      <c r="I30" s="96">
        <f t="shared" si="7"/>
        <v>1174179.0375000003</v>
      </c>
      <c r="J30" s="96">
        <f t="shared" si="7"/>
        <v>1232887.9893750004</v>
      </c>
      <c r="K30" s="96">
        <f t="shared" si="7"/>
        <v>1294532.3888437503</v>
      </c>
      <c r="P30" s="94"/>
    </row>
    <row r="31" spans="1:16">
      <c r="A31" s="109" t="str">
        <f>B11</f>
        <v>BBF Seed Sowing Machine</v>
      </c>
      <c r="B31" s="109"/>
      <c r="C31" s="300">
        <f t="shared" si="5"/>
        <v>690</v>
      </c>
      <c r="D31" s="300">
        <f>K11</f>
        <v>1400</v>
      </c>
      <c r="E31" s="96">
        <f>$C$31*$D$31*E23</f>
        <v>966000</v>
      </c>
      <c r="F31" s="96">
        <f t="shared" ref="F31:K31" si="8">$C$31*$D$31*F23</f>
        <v>1014300</v>
      </c>
      <c r="G31" s="96">
        <f t="shared" si="8"/>
        <v>1065015</v>
      </c>
      <c r="H31" s="96">
        <f t="shared" si="8"/>
        <v>1118265.7500000002</v>
      </c>
      <c r="I31" s="96">
        <f t="shared" si="8"/>
        <v>1174179.0375000003</v>
      </c>
      <c r="J31" s="96">
        <f t="shared" si="8"/>
        <v>1232887.9893750004</v>
      </c>
      <c r="K31" s="96">
        <f t="shared" si="8"/>
        <v>1294532.3888437503</v>
      </c>
      <c r="P31" s="94"/>
    </row>
    <row r="32" spans="1:16">
      <c r="A32" s="109" t="str">
        <f>B12</f>
        <v>Collector</v>
      </c>
      <c r="B32" s="109"/>
      <c r="C32" s="300">
        <f t="shared" si="5"/>
        <v>690</v>
      </c>
      <c r="D32" s="300">
        <f>K12</f>
        <v>1400</v>
      </c>
      <c r="E32" s="96">
        <f>$C$32*$D$32*E23</f>
        <v>966000</v>
      </c>
      <c r="F32" s="96">
        <f t="shared" ref="F32:K32" si="9">$C$32*$D$32*F23</f>
        <v>1014300</v>
      </c>
      <c r="G32" s="96">
        <f t="shared" si="9"/>
        <v>1065015</v>
      </c>
      <c r="H32" s="96">
        <f t="shared" si="9"/>
        <v>1118265.7500000002</v>
      </c>
      <c r="I32" s="96">
        <f t="shared" si="9"/>
        <v>1174179.0375000003</v>
      </c>
      <c r="J32" s="96">
        <f t="shared" si="9"/>
        <v>1232887.9893750004</v>
      </c>
      <c r="K32" s="96">
        <f t="shared" si="9"/>
        <v>1294532.3888437503</v>
      </c>
      <c r="P32" s="94"/>
    </row>
    <row r="33" spans="1:16">
      <c r="A33" s="109"/>
      <c r="B33" s="109"/>
      <c r="C33" s="300">
        <f t="shared" si="5"/>
        <v>0</v>
      </c>
      <c r="D33" s="300">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300">
        <f t="shared" si="5"/>
        <v>0</v>
      </c>
      <c r="D34" s="300">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300">
        <f t="shared" si="5"/>
        <v>0</v>
      </c>
      <c r="D35" s="300">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300">
        <f t="shared" si="5"/>
        <v>0</v>
      </c>
      <c r="D36" s="300">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300">
        <f t="shared" si="5"/>
        <v>0</v>
      </c>
      <c r="D37" s="300">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300">
        <f t="shared" si="5"/>
        <v>0</v>
      </c>
      <c r="D38" s="300">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6451500</v>
      </c>
      <c r="F39" s="96">
        <f t="shared" ref="F39:K39" si="17">SUM(F28:F38)</f>
        <v>6774075</v>
      </c>
      <c r="G39" s="96">
        <f t="shared" si="17"/>
        <v>7112778.75</v>
      </c>
      <c r="H39" s="96">
        <f t="shared" si="17"/>
        <v>7468417.6875000009</v>
      </c>
      <c r="I39" s="96">
        <f t="shared" si="17"/>
        <v>7841838.5718750032</v>
      </c>
      <c r="J39" s="96">
        <f t="shared" si="17"/>
        <v>8233930.5004687533</v>
      </c>
      <c r="K39" s="96">
        <f t="shared" si="17"/>
        <v>8645627.0254921895</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311</v>
      </c>
      <c r="B42" s="97"/>
      <c r="C42" s="101"/>
      <c r="D42" s="101"/>
      <c r="E42" s="96"/>
      <c r="F42" s="96"/>
      <c r="G42" s="96"/>
      <c r="H42" s="96"/>
      <c r="I42" s="96"/>
      <c r="J42" s="96"/>
      <c r="K42" s="96"/>
    </row>
    <row r="43" spans="1:16">
      <c r="A43" s="95" t="s">
        <v>312</v>
      </c>
      <c r="B43" s="95" t="s">
        <v>453</v>
      </c>
      <c r="C43" s="99">
        <f>SUM(J8:J17)</f>
        <v>16560</v>
      </c>
      <c r="D43" s="233">
        <v>90</v>
      </c>
      <c r="E43" s="96">
        <f>$C$43*$D$43*E23</f>
        <v>1490400</v>
      </c>
      <c r="F43" s="96">
        <f t="shared" ref="F43:K43" si="18">$C$43*$D$43*F23</f>
        <v>1564920</v>
      </c>
      <c r="G43" s="96">
        <f t="shared" si="18"/>
        <v>1643166</v>
      </c>
      <c r="H43" s="96">
        <f t="shared" si="18"/>
        <v>1725324.3000000003</v>
      </c>
      <c r="I43" s="96">
        <f t="shared" si="18"/>
        <v>1811590.5150000004</v>
      </c>
      <c r="J43" s="96">
        <f t="shared" si="18"/>
        <v>1902170.0407500006</v>
      </c>
      <c r="K43" s="96">
        <f t="shared" si="18"/>
        <v>1997278.5427875007</v>
      </c>
    </row>
    <row r="44" spans="1:16">
      <c r="A44" s="95" t="s">
        <v>313</v>
      </c>
      <c r="B44" s="95" t="s">
        <v>455</v>
      </c>
      <c r="C44" s="99">
        <f>SUM(M8:M17)</f>
        <v>1150</v>
      </c>
      <c r="D44" s="233">
        <v>300</v>
      </c>
      <c r="E44" s="96">
        <f>$C$44*$D$44*E23</f>
        <v>345000</v>
      </c>
      <c r="F44" s="96">
        <f t="shared" ref="F44:K44" si="19">$C$44*$D$44*F23</f>
        <v>362250</v>
      </c>
      <c r="G44" s="96">
        <f t="shared" si="19"/>
        <v>380362.5</v>
      </c>
      <c r="H44" s="96">
        <f t="shared" si="19"/>
        <v>399380.62500000006</v>
      </c>
      <c r="I44" s="96">
        <f t="shared" si="19"/>
        <v>419349.65625000006</v>
      </c>
      <c r="J44" s="96">
        <f t="shared" si="19"/>
        <v>440317.13906250015</v>
      </c>
      <c r="K44" s="96">
        <f t="shared" si="19"/>
        <v>462332.99601562513</v>
      </c>
    </row>
    <row r="45" spans="1:16">
      <c r="A45" s="95"/>
      <c r="B45" s="95"/>
      <c r="C45" s="233"/>
      <c r="D45" s="233"/>
      <c r="E45" s="96"/>
      <c r="F45" s="96"/>
      <c r="G45" s="96"/>
      <c r="H45" s="96"/>
      <c r="I45" s="96"/>
      <c r="J45" s="96"/>
      <c r="K45" s="96"/>
    </row>
    <row r="46" spans="1:16">
      <c r="A46" s="95"/>
      <c r="B46" s="95"/>
      <c r="C46" s="233"/>
      <c r="D46" s="233"/>
      <c r="E46" s="96"/>
      <c r="F46" s="96"/>
      <c r="G46" s="96"/>
      <c r="H46" s="96"/>
      <c r="I46" s="96"/>
      <c r="J46" s="96"/>
      <c r="K46" s="96"/>
    </row>
    <row r="47" spans="1:16">
      <c r="A47" s="95"/>
      <c r="B47" s="95"/>
      <c r="C47" s="233"/>
      <c r="D47" s="233"/>
      <c r="E47" s="96"/>
      <c r="F47" s="96"/>
      <c r="G47" s="96"/>
      <c r="H47" s="96"/>
      <c r="I47" s="96"/>
      <c r="J47" s="96"/>
      <c r="K47" s="96"/>
    </row>
    <row r="48" spans="1:16">
      <c r="A48" s="95"/>
      <c r="B48" s="95"/>
      <c r="C48" s="233"/>
      <c r="D48" s="233"/>
      <c r="E48" s="96"/>
      <c r="F48" s="96"/>
      <c r="G48" s="96"/>
      <c r="H48" s="96"/>
      <c r="I48" s="96"/>
      <c r="J48" s="96"/>
      <c r="K48" s="96"/>
    </row>
    <row r="49" spans="1:12">
      <c r="A49" s="97" t="s">
        <v>327</v>
      </c>
      <c r="B49" s="97"/>
      <c r="C49" s="238"/>
      <c r="D49" s="238"/>
      <c r="E49" s="115">
        <f>SUM(E43:E48)</f>
        <v>1835400</v>
      </c>
      <c r="F49" s="115">
        <f t="shared" ref="F49:K49" si="20">SUM(F43:F48)</f>
        <v>1927170</v>
      </c>
      <c r="G49" s="115">
        <f t="shared" si="20"/>
        <v>2023528.5</v>
      </c>
      <c r="H49" s="115">
        <f t="shared" si="20"/>
        <v>2124704.9250000003</v>
      </c>
      <c r="I49" s="115">
        <f t="shared" si="20"/>
        <v>2230940.1712500006</v>
      </c>
      <c r="J49" s="115">
        <f t="shared" si="20"/>
        <v>2342487.1798125007</v>
      </c>
      <c r="K49" s="115">
        <f t="shared" si="20"/>
        <v>2459611.5388031257</v>
      </c>
    </row>
    <row r="50" spans="1:12">
      <c r="A50" s="97"/>
      <c r="B50" s="97"/>
      <c r="C50" s="238"/>
      <c r="D50" s="238"/>
      <c r="E50" s="115"/>
      <c r="F50" s="115"/>
      <c r="G50" s="115"/>
      <c r="H50" s="115"/>
      <c r="I50" s="115"/>
      <c r="J50" s="115"/>
      <c r="K50" s="115"/>
    </row>
    <row r="51" spans="1:12">
      <c r="A51" s="196" t="s">
        <v>314</v>
      </c>
      <c r="B51" s="196"/>
      <c r="C51" s="259"/>
      <c r="D51" s="259"/>
      <c r="E51" s="96"/>
      <c r="F51" s="96"/>
      <c r="G51" s="96"/>
      <c r="H51" s="96"/>
      <c r="I51" s="96"/>
      <c r="J51" s="96"/>
      <c r="K51" s="96"/>
    </row>
    <row r="52" spans="1:12">
      <c r="A52" s="109" t="s">
        <v>315</v>
      </c>
      <c r="B52" s="95" t="s">
        <v>401</v>
      </c>
      <c r="C52" s="259">
        <v>1</v>
      </c>
      <c r="D52" s="260"/>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59"/>
      <c r="D53" s="260"/>
      <c r="E53" s="96"/>
      <c r="F53" s="96"/>
      <c r="G53" s="96"/>
      <c r="H53" s="96"/>
      <c r="I53" s="96"/>
      <c r="J53" s="96"/>
      <c r="K53" s="96"/>
    </row>
    <row r="54" spans="1:12">
      <c r="A54" s="109"/>
      <c r="B54" s="109"/>
      <c r="C54" s="259"/>
      <c r="D54" s="260"/>
      <c r="E54" s="96"/>
      <c r="F54" s="96"/>
      <c r="G54" s="96"/>
      <c r="H54" s="96"/>
      <c r="I54" s="96"/>
      <c r="J54" s="96"/>
      <c r="K54" s="96"/>
    </row>
    <row r="55" spans="1:12">
      <c r="A55" s="109"/>
      <c r="B55" s="109"/>
      <c r="C55" s="259"/>
      <c r="D55" s="260"/>
      <c r="E55" s="96"/>
      <c r="F55" s="96"/>
      <c r="G55" s="96"/>
      <c r="H55" s="96"/>
      <c r="I55" s="96"/>
      <c r="J55" s="96"/>
      <c r="K55" s="96"/>
    </row>
    <row r="56" spans="1:12">
      <c r="A56" s="97" t="s">
        <v>331</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1835400</v>
      </c>
      <c r="F57" s="115">
        <f t="shared" ref="F57:K57" si="23">F49+F56</f>
        <v>1927170</v>
      </c>
      <c r="G57" s="115">
        <f t="shared" si="23"/>
        <v>2023528.5</v>
      </c>
      <c r="H57" s="115">
        <f t="shared" si="23"/>
        <v>2124704.9250000003</v>
      </c>
      <c r="I57" s="115">
        <f t="shared" si="23"/>
        <v>2230940.1712500006</v>
      </c>
      <c r="J57" s="115">
        <f t="shared" si="23"/>
        <v>2342487.1798125007</v>
      </c>
      <c r="K57" s="115">
        <f t="shared" si="23"/>
        <v>2459611.5388031257</v>
      </c>
    </row>
    <row r="58" spans="1:12">
      <c r="A58" s="95"/>
      <c r="B58" s="95"/>
      <c r="C58" s="95"/>
      <c r="D58" s="95"/>
      <c r="E58" s="96"/>
      <c r="F58" s="96"/>
      <c r="G58" s="96"/>
      <c r="H58" s="96"/>
      <c r="I58" s="96"/>
      <c r="J58" s="96"/>
      <c r="K58" s="96"/>
    </row>
    <row r="59" spans="1:12">
      <c r="A59" s="97" t="s">
        <v>318</v>
      </c>
      <c r="B59" s="97"/>
      <c r="C59" s="97"/>
      <c r="D59" s="97"/>
      <c r="E59" s="115">
        <f t="shared" ref="E59:K59" si="24">E39-E57</f>
        <v>4616100</v>
      </c>
      <c r="F59" s="115">
        <f t="shared" si="24"/>
        <v>4846905</v>
      </c>
      <c r="G59" s="115">
        <f t="shared" si="24"/>
        <v>5089250.25</v>
      </c>
      <c r="H59" s="115">
        <f t="shared" si="24"/>
        <v>5343712.7625000011</v>
      </c>
      <c r="I59" s="115">
        <f t="shared" si="24"/>
        <v>5610898.4006250026</v>
      </c>
      <c r="J59" s="115">
        <f t="shared" si="24"/>
        <v>5891443.320656253</v>
      </c>
      <c r="K59" s="115">
        <f t="shared" si="24"/>
        <v>6186015.4866890637</v>
      </c>
    </row>
    <row r="60" spans="1:12">
      <c r="A60" s="276"/>
      <c r="B60" s="276"/>
      <c r="C60" s="276"/>
      <c r="D60" s="276"/>
      <c r="E60" s="277"/>
      <c r="F60" s="277"/>
      <c r="G60" s="277"/>
      <c r="H60" s="277"/>
      <c r="I60" s="277"/>
      <c r="J60" s="277"/>
      <c r="K60" s="277"/>
    </row>
    <row r="61" spans="1:12">
      <c r="A61" s="94"/>
      <c r="B61" s="94"/>
      <c r="C61" s="276"/>
      <c r="D61" s="276"/>
      <c r="E61" s="277"/>
      <c r="F61" s="277"/>
      <c r="G61" s="277"/>
      <c r="H61" s="277"/>
      <c r="I61" s="277"/>
      <c r="J61" s="277"/>
      <c r="K61" s="277"/>
    </row>
    <row r="62" spans="1:12">
      <c r="A62" s="420" t="s">
        <v>431</v>
      </c>
      <c r="B62" s="420"/>
      <c r="C62" s="420"/>
      <c r="D62" s="420"/>
      <c r="E62" s="420"/>
      <c r="F62" s="420"/>
      <c r="G62" s="420"/>
      <c r="H62" s="420"/>
      <c r="I62" s="420"/>
      <c r="J62" s="420"/>
      <c r="K62" s="420"/>
      <c r="L62" s="420"/>
    </row>
    <row r="65" spans="1:2">
      <c r="A65" t="s">
        <v>551</v>
      </c>
    </row>
    <row r="66" spans="1:2">
      <c r="A66">
        <v>1</v>
      </c>
      <c r="B66" t="s">
        <v>564</v>
      </c>
    </row>
    <row r="67" spans="1:2">
      <c r="A67">
        <v>2</v>
      </c>
      <c r="B67" t="s">
        <v>565</v>
      </c>
    </row>
    <row r="68" spans="1:2">
      <c r="A68">
        <v>3</v>
      </c>
      <c r="B68" s="94" t="s">
        <v>617</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C1" zoomScale="80" zoomScaleSheetLayoutView="80" workbookViewId="0">
      <selection activeCell="A23" sqref="A23:K23"/>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419" t="s">
        <v>576</v>
      </c>
      <c r="D2" s="419"/>
      <c r="E2" s="419"/>
      <c r="F2" s="419"/>
      <c r="G2" s="419"/>
      <c r="H2" s="419"/>
      <c r="I2" s="419"/>
      <c r="J2" s="419"/>
      <c r="K2" s="419"/>
      <c r="L2" s="210"/>
    </row>
    <row r="4" spans="3:22">
      <c r="C4" s="82" t="s">
        <v>0</v>
      </c>
      <c r="D4" s="82"/>
      <c r="E4" s="83" t="s">
        <v>2</v>
      </c>
      <c r="F4" s="83" t="s">
        <v>3</v>
      </c>
      <c r="G4" s="83" t="s">
        <v>4</v>
      </c>
      <c r="H4" s="83" t="s">
        <v>5</v>
      </c>
      <c r="I4" s="83" t="s">
        <v>6</v>
      </c>
      <c r="J4" s="83" t="s">
        <v>171</v>
      </c>
      <c r="K4" s="83" t="s">
        <v>170</v>
      </c>
      <c r="L4" s="94"/>
      <c r="M4" s="94"/>
      <c r="N4" s="251"/>
      <c r="O4" s="251"/>
      <c r="P4" s="251"/>
      <c r="Q4" s="251"/>
      <c r="R4" s="251"/>
      <c r="S4" s="251"/>
      <c r="T4" s="251"/>
      <c r="U4" s="251"/>
      <c r="V4" s="251"/>
    </row>
    <row r="5" spans="3:22">
      <c r="C5" s="95" t="s">
        <v>376</v>
      </c>
      <c r="D5" s="95"/>
      <c r="E5" s="95"/>
      <c r="F5" s="95"/>
      <c r="G5" s="95"/>
      <c r="H5" s="95"/>
      <c r="I5" s="95"/>
      <c r="J5" s="95"/>
      <c r="K5" s="95"/>
      <c r="L5" s="94"/>
      <c r="M5" s="94"/>
      <c r="N5" s="459" t="s">
        <v>547</v>
      </c>
      <c r="O5" s="459"/>
      <c r="P5" s="459"/>
      <c r="Q5" s="459"/>
      <c r="R5" s="459"/>
      <c r="S5" s="251"/>
      <c r="T5" s="251"/>
      <c r="U5" s="459" t="s">
        <v>548</v>
      </c>
      <c r="V5" s="459"/>
    </row>
    <row r="6" spans="3:22">
      <c r="C6" s="95" t="s">
        <v>377</v>
      </c>
      <c r="D6" s="190"/>
      <c r="E6" s="95"/>
      <c r="F6" s="96">
        <f t="shared" ref="F6:K9" si="0">E15</f>
        <v>10719000</v>
      </c>
      <c r="G6" s="96">
        <f t="shared" si="0"/>
        <v>11817697.5</v>
      </c>
      <c r="H6" s="96">
        <f t="shared" si="0"/>
        <v>12999467.25</v>
      </c>
      <c r="I6" s="96">
        <f t="shared" si="0"/>
        <v>14269869.731250003</v>
      </c>
      <c r="J6" s="96">
        <f t="shared" si="0"/>
        <v>15634813.792500002</v>
      </c>
      <c r="K6" s="96">
        <f t="shared" si="0"/>
        <v>17100577.585546881</v>
      </c>
      <c r="L6" s="94"/>
      <c r="M6" s="94"/>
      <c r="N6" s="458" t="s">
        <v>549</v>
      </c>
      <c r="O6" s="458"/>
      <c r="P6" s="458"/>
      <c r="Q6" s="458"/>
      <c r="R6" s="458"/>
      <c r="S6" s="251"/>
      <c r="T6" s="251"/>
      <c r="U6" s="458" t="s">
        <v>549</v>
      </c>
      <c r="V6" s="458"/>
    </row>
    <row r="7" spans="3:22">
      <c r="C7" s="95" t="s">
        <v>463</v>
      </c>
      <c r="D7" s="190"/>
      <c r="E7" s="95"/>
      <c r="F7" s="96">
        <f t="shared" si="0"/>
        <v>4.5009585000000008E-3</v>
      </c>
      <c r="G7" s="96">
        <f t="shared" si="0"/>
        <v>4.7260064250000009E-3</v>
      </c>
      <c r="H7" s="96">
        <f t="shared" si="0"/>
        <v>4.9623067462500007E-3</v>
      </c>
      <c r="I7" s="96">
        <f t="shared" si="0"/>
        <v>5.2104220835625017E-3</v>
      </c>
      <c r="J7" s="96">
        <f t="shared" si="0"/>
        <v>5.4709431877406275E-3</v>
      </c>
      <c r="K7" s="96">
        <f t="shared" si="0"/>
        <v>5.7444903471276587E-3</v>
      </c>
      <c r="L7" s="94"/>
      <c r="M7" s="94"/>
      <c r="N7" s="252" t="s">
        <v>0</v>
      </c>
      <c r="O7" s="252" t="s">
        <v>165</v>
      </c>
      <c r="P7" s="252" t="s">
        <v>166</v>
      </c>
      <c r="Q7" s="252" t="s">
        <v>320</v>
      </c>
      <c r="R7" s="252" t="s">
        <v>321</v>
      </c>
      <c r="S7" s="251"/>
      <c r="T7" s="251"/>
      <c r="U7" s="344" t="s">
        <v>0</v>
      </c>
      <c r="V7" s="344" t="s">
        <v>504</v>
      </c>
    </row>
    <row r="8" spans="3:22">
      <c r="C8" s="95" t="s">
        <v>566</v>
      </c>
      <c r="D8" s="190"/>
      <c r="E8" s="95"/>
      <c r="F8" s="96">
        <f t="shared" si="0"/>
        <v>4.8266325000000006E-3</v>
      </c>
      <c r="G8" s="96">
        <f t="shared" si="0"/>
        <v>5.0679641250000011E-3</v>
      </c>
      <c r="H8" s="96">
        <f t="shared" si="0"/>
        <v>5.321362331250001E-3</v>
      </c>
      <c r="I8" s="96">
        <f t="shared" si="0"/>
        <v>5.5874304478125006E-3</v>
      </c>
      <c r="J8" s="96">
        <f t="shared" si="0"/>
        <v>5.8668019702031275E-3</v>
      </c>
      <c r="K8" s="96">
        <f t="shared" si="0"/>
        <v>6.1601420687132846E-3</v>
      </c>
      <c r="L8" s="94"/>
      <c r="M8" s="94"/>
      <c r="N8" s="253" t="s">
        <v>378</v>
      </c>
      <c r="O8" s="253">
        <f>'13.Facility 2 Grain Processing'!C152</f>
        <v>4800</v>
      </c>
      <c r="P8" s="253">
        <f>'13.Facility 2 Grain Processing'!C153</f>
        <v>5800</v>
      </c>
      <c r="Q8" s="253">
        <f>'13.Facility 2 Grain Processing'!C154</f>
        <v>5800</v>
      </c>
      <c r="R8" s="253">
        <f>'13.Facility 2 Grain Processing'!C155</f>
        <v>6200</v>
      </c>
      <c r="S8" s="251"/>
      <c r="T8" s="251"/>
      <c r="U8" s="253" t="s">
        <v>351</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5.625</v>
      </c>
      <c r="P10" s="255">
        <f>O10</f>
        <v>5.625</v>
      </c>
      <c r="Q10" s="255">
        <f t="shared" ref="Q10:R10" si="2">P10</f>
        <v>5.625</v>
      </c>
      <c r="R10" s="255">
        <f t="shared" si="2"/>
        <v>5.625</v>
      </c>
      <c r="S10" s="251"/>
      <c r="T10" s="251"/>
      <c r="U10" s="253" t="str">
        <f>'17.Facility 6 Horti Processing '!A165</f>
        <v xml:space="preserve">Daily Labour </v>
      </c>
      <c r="V10" s="254">
        <f>'17.Facility 6 Horti Processing '!B165*'17.Facility 6 Horti Processing '!C165/('17.Facility 6 Horti Processing '!B5*'17.Facility 6 Horti Processing '!B6)</f>
        <v>187.5</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0</v>
      </c>
      <c r="P11" s="255">
        <f>O11</f>
        <v>0</v>
      </c>
      <c r="Q11" s="255">
        <f t="shared" ref="Q11" si="3">P11</f>
        <v>0</v>
      </c>
      <c r="R11" s="255">
        <f t="shared" ref="R11" si="4">Q11</f>
        <v>0</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10719000.009327592</v>
      </c>
      <c r="G12" s="96">
        <f t="shared" si="5"/>
        <v>11817697.509793971</v>
      </c>
      <c r="H12" s="96">
        <f t="shared" si="5"/>
        <v>12999467.260283669</v>
      </c>
      <c r="I12" s="96">
        <f t="shared" si="5"/>
        <v>14269869.742047856</v>
      </c>
      <c r="J12" s="96">
        <f t="shared" si="5"/>
        <v>15634813.803837746</v>
      </c>
      <c r="K12" s="96">
        <f t="shared" si="5"/>
        <v>17100577.597451515</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353</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10719000</v>
      </c>
      <c r="F15" s="96">
        <f>SUM('16.Facility 5 Agri Input'!E197:E252)*$D$15</f>
        <v>11817697.5</v>
      </c>
      <c r="G15" s="96">
        <f>SUM('16.Facility 5 Agri Input'!F197:F252)*$D$15</f>
        <v>12999467.25</v>
      </c>
      <c r="H15" s="96">
        <f>SUM('16.Facility 5 Agri Input'!G197:G252)*$D$15</f>
        <v>14269869.731250003</v>
      </c>
      <c r="I15" s="96">
        <f>SUM('16.Facility 5 Agri Input'!H197:H252)*$D$15</f>
        <v>15634813.792500002</v>
      </c>
      <c r="J15" s="96">
        <f>SUM('16.Facility 5 Agri Input'!I197:I252)*$D$15</f>
        <v>17100577.585546881</v>
      </c>
      <c r="K15" s="96">
        <f>SUM('16.Facility 5 Agri Input'!J197:J252)*$D$15</f>
        <v>18673830.723417193</v>
      </c>
      <c r="L15" s="94"/>
      <c r="M15" s="94"/>
      <c r="N15" s="10"/>
      <c r="O15" s="10"/>
      <c r="P15" s="10"/>
      <c r="Q15" s="10"/>
      <c r="R15" s="10"/>
      <c r="U15" s="10"/>
      <c r="V15" s="10"/>
    </row>
    <row r="16" spans="3:22">
      <c r="C16" s="95" t="str">
        <f>C7</f>
        <v>Trading</v>
      </c>
      <c r="D16" s="282">
        <v>0.05</v>
      </c>
      <c r="E16" s="96">
        <f>SUM('12.Facility 1 - Trading'!D233:D284)*$D$16</f>
        <v>4.5009585000000008E-3</v>
      </c>
      <c r="F16" s="96">
        <f>SUM('12.Facility 1 - Trading'!E233:E284)*$D$16</f>
        <v>4.7260064250000009E-3</v>
      </c>
      <c r="G16" s="96">
        <f>SUM('12.Facility 1 - Trading'!F233:F284)*$D$16</f>
        <v>4.9623067462500007E-3</v>
      </c>
      <c r="H16" s="96">
        <f>SUM('12.Facility 1 - Trading'!G233:G284)*$D$16</f>
        <v>5.2104220835625017E-3</v>
      </c>
      <c r="I16" s="96">
        <f>SUM('12.Facility 1 - Trading'!H233:H284)*$D$16</f>
        <v>5.4709431877406275E-3</v>
      </c>
      <c r="J16" s="96">
        <f>SUM('12.Facility 1 - Trading'!I233:I284)*$D$16</f>
        <v>5.7444903471276587E-3</v>
      </c>
      <c r="K16" s="96">
        <f>SUM('12.Facility 1 - Trading'!J233:J284)*$D$16</f>
        <v>6.0317148644840413E-3</v>
      </c>
      <c r="L16" s="94"/>
      <c r="M16" s="94"/>
      <c r="N16" s="252" t="s">
        <v>379</v>
      </c>
      <c r="O16" s="256">
        <f>SUM(O8:O13)</f>
        <v>4885.625</v>
      </c>
      <c r="P16" s="256">
        <f>SUM(P8:P13)</f>
        <v>5885.625</v>
      </c>
      <c r="Q16" s="256">
        <f>SUM(Q8:Q13)</f>
        <v>5885.625</v>
      </c>
      <c r="R16" s="256">
        <f>SUM(R8:R13)</f>
        <v>6285.625</v>
      </c>
      <c r="U16" s="252" t="s">
        <v>1</v>
      </c>
      <c r="V16" s="256">
        <f>SUM(V8:V15)</f>
        <v>8397.5</v>
      </c>
    </row>
    <row r="17" spans="1:18">
      <c r="C17" s="95" t="str">
        <f>C8</f>
        <v xml:space="preserve">Grain Processing </v>
      </c>
      <c r="D17" s="282">
        <v>0.05</v>
      </c>
      <c r="E17" s="96">
        <f>SUM('13.Facility 2 Grain Processing'!D152:D160)*$D$17</f>
        <v>4.8266325000000006E-3</v>
      </c>
      <c r="F17" s="96">
        <f>SUM('13.Facility 2 Grain Processing'!E152:E160)*$D$17</f>
        <v>5.0679641250000011E-3</v>
      </c>
      <c r="G17" s="96">
        <f>SUM('13.Facility 2 Grain Processing'!F152:F160)*$D$17</f>
        <v>5.321362331250001E-3</v>
      </c>
      <c r="H17" s="96">
        <f>SUM('13.Facility 2 Grain Processing'!G152:G160)*$D$17</f>
        <v>5.5874304478125006E-3</v>
      </c>
      <c r="I17" s="96">
        <f>SUM('13.Facility 2 Grain Processing'!H152:H160)*$D$17</f>
        <v>5.8668019702031275E-3</v>
      </c>
      <c r="J17" s="96">
        <f>SUM('13.Facility 2 Grain Processing'!I152:I160)*$D$17</f>
        <v>6.1601420687132846E-3</v>
      </c>
      <c r="K17" s="96">
        <f>SUM('13.Facility 2 Grain Processing'!J152:J160)*$D$17</f>
        <v>6.468149172148949E-3</v>
      </c>
      <c r="L17" s="94"/>
      <c r="M17" s="94"/>
    </row>
    <row r="18" spans="1:18">
      <c r="C18" s="95" t="s">
        <v>534</v>
      </c>
      <c r="D18" s="282">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10719000.009327592</v>
      </c>
      <c r="F21" s="96">
        <f t="shared" si="7"/>
        <v>11817697.509793971</v>
      </c>
      <c r="G21" s="96">
        <f t="shared" si="7"/>
        <v>12999467.260283669</v>
      </c>
      <c r="H21" s="96">
        <f t="shared" si="7"/>
        <v>14269869.742047856</v>
      </c>
      <c r="I21" s="96">
        <f t="shared" si="7"/>
        <v>15634813.803837746</v>
      </c>
      <c r="J21" s="96">
        <f t="shared" si="7"/>
        <v>17100577.597451515</v>
      </c>
      <c r="K21" s="96">
        <f t="shared" si="7"/>
        <v>18673830.735917058</v>
      </c>
      <c r="L21" s="94"/>
      <c r="M21" s="94"/>
    </row>
    <row r="22" spans="1:18">
      <c r="C22" s="94"/>
      <c r="D22" s="94"/>
      <c r="E22" s="94"/>
      <c r="F22" s="94"/>
      <c r="G22" s="94"/>
      <c r="H22" s="94"/>
      <c r="I22" s="94"/>
      <c r="J22" s="94"/>
      <c r="K22" s="94"/>
      <c r="L22" s="94"/>
      <c r="M22" s="94"/>
    </row>
    <row r="23" spans="1:18" ht="41.15" customHeight="1">
      <c r="A23" s="427" t="s">
        <v>429</v>
      </c>
      <c r="B23" s="427"/>
      <c r="C23" s="427"/>
      <c r="D23" s="427"/>
      <c r="E23" s="427"/>
      <c r="F23" s="427"/>
      <c r="G23" s="427"/>
      <c r="H23" s="427"/>
      <c r="I23" s="427"/>
      <c r="J23" s="427"/>
      <c r="K23" s="427"/>
      <c r="L23" s="343"/>
      <c r="M23" s="343"/>
      <c r="N23" s="343"/>
      <c r="O23" s="292"/>
      <c r="P23" s="292"/>
      <c r="Q23" s="292"/>
      <c r="R23" s="292"/>
    </row>
    <row r="24" spans="1:18">
      <c r="A24" t="s">
        <v>551</v>
      </c>
    </row>
    <row r="25" spans="1:18">
      <c r="A25">
        <v>1</v>
      </c>
      <c r="B25" t="s">
        <v>554</v>
      </c>
    </row>
    <row r="28" spans="1:18" ht="17.5">
      <c r="B28" s="419" t="s">
        <v>577</v>
      </c>
      <c r="C28" s="419"/>
      <c r="D28" s="419"/>
      <c r="E28" s="419"/>
      <c r="F28" s="419"/>
      <c r="G28" s="419"/>
      <c r="H28" s="419"/>
      <c r="I28" s="419"/>
      <c r="J28" s="419"/>
      <c r="K28" s="419"/>
    </row>
    <row r="30" spans="1:18">
      <c r="B30" s="451" t="s">
        <v>146</v>
      </c>
      <c r="C30" s="451" t="s">
        <v>0</v>
      </c>
      <c r="D30" s="454" t="s">
        <v>375</v>
      </c>
      <c r="E30" s="456" t="s">
        <v>160</v>
      </c>
      <c r="F30" s="457"/>
      <c r="G30" s="457"/>
      <c r="H30" s="457"/>
      <c r="I30" s="457"/>
      <c r="J30" s="457"/>
      <c r="K30" s="457"/>
    </row>
    <row r="31" spans="1:18">
      <c r="B31" s="451"/>
      <c r="C31" s="451"/>
      <c r="D31" s="455"/>
      <c r="E31" s="215" t="s">
        <v>2</v>
      </c>
      <c r="F31" s="215" t="s">
        <v>3</v>
      </c>
      <c r="G31" s="215" t="s">
        <v>4</v>
      </c>
      <c r="H31" s="215" t="s">
        <v>5</v>
      </c>
      <c r="I31" s="215" t="s">
        <v>6</v>
      </c>
      <c r="J31" s="215" t="s">
        <v>171</v>
      </c>
      <c r="K31" s="215" t="s">
        <v>170</v>
      </c>
    </row>
    <row r="32" spans="1:18">
      <c r="B32" s="218"/>
      <c r="C32" s="219"/>
      <c r="D32" s="219"/>
      <c r="E32" s="220"/>
      <c r="F32" s="220"/>
      <c r="G32" s="220"/>
      <c r="H32" s="220"/>
      <c r="I32" s="220"/>
      <c r="J32" s="220"/>
      <c r="K32" s="220"/>
    </row>
    <row r="33" spans="2:11">
      <c r="B33" s="221" t="s">
        <v>175</v>
      </c>
      <c r="C33" s="222" t="s">
        <v>354</v>
      </c>
      <c r="D33" s="236"/>
      <c r="E33" s="223"/>
      <c r="F33" s="223"/>
      <c r="G33" s="223"/>
      <c r="H33" s="223"/>
      <c r="I33" s="223"/>
      <c r="J33" s="223"/>
      <c r="K33" s="223"/>
    </row>
    <row r="34" spans="2:11">
      <c r="B34" s="278">
        <v>1</v>
      </c>
      <c r="C34" s="224" t="s">
        <v>377</v>
      </c>
      <c r="D34" s="236">
        <v>14</v>
      </c>
      <c r="E34" s="223">
        <f>('16.Facility 5 Agri Input'!D191/365)*$D$34</f>
        <v>8891141.0958904102</v>
      </c>
      <c r="F34" s="223">
        <f>('16.Facility 5 Agri Input'!E191/365)*$D$34</f>
        <v>10293835.592465753</v>
      </c>
      <c r="G34" s="223">
        <f>('16.Facility 5 Agri Input'!F191/365)*$D$34</f>
        <v>11324447.533047944</v>
      </c>
      <c r="H34" s="223">
        <f>('16.Facility 5 Agri Input'!G191/365)*$D$34</f>
        <v>12432386.078707194</v>
      </c>
      <c r="I34" s="223">
        <f>('16.Facility 5 Agri Input'!H191/365)*$D$34</f>
        <v>13622807.360099746</v>
      </c>
      <c r="J34" s="223">
        <f>('16.Facility 5 Agri Input'!I191/365)*$D$34</f>
        <v>14901189.804434787</v>
      </c>
      <c r="K34" s="223">
        <f>('16.Facility 5 Agri Input'!J191/365)*$D$34</f>
        <v>16273353.474803083</v>
      </c>
    </row>
    <row r="35" spans="2:11">
      <c r="B35" s="278">
        <v>2</v>
      </c>
      <c r="C35" s="224" t="s">
        <v>372</v>
      </c>
      <c r="D35" s="236">
        <v>14</v>
      </c>
      <c r="E35" s="223">
        <f>('15. Facility 4 Custom Hiring'!E39/365)*$D$35</f>
        <v>247454.79452054793</v>
      </c>
      <c r="F35" s="223">
        <f>('15. Facility 4 Custom Hiring'!F39/365)*$D$35</f>
        <v>259827.53424657532</v>
      </c>
      <c r="G35" s="223">
        <f>('15. Facility 4 Custom Hiring'!G39/365)*$D$35</f>
        <v>272818.91095890407</v>
      </c>
      <c r="H35" s="223">
        <f>('15. Facility 4 Custom Hiring'!H39/365)*$D$35</f>
        <v>286459.85650684935</v>
      </c>
      <c r="I35" s="223">
        <f>('15. Facility 4 Custom Hiring'!I39/365)*$D$35</f>
        <v>300782.84933219186</v>
      </c>
      <c r="J35" s="223">
        <f>('15. Facility 4 Custom Hiring'!J39/365)*$D$35</f>
        <v>315821.99179880146</v>
      </c>
      <c r="K35" s="223">
        <f>('15. Facility 4 Custom Hiring'!K39/365)*$D$35</f>
        <v>331613.09138874151</v>
      </c>
    </row>
    <row r="36" spans="2:11">
      <c r="B36" s="278">
        <v>3</v>
      </c>
      <c r="C36" s="224" t="s">
        <v>373</v>
      </c>
      <c r="D36" s="236">
        <v>14</v>
      </c>
      <c r="E36" s="223">
        <f>('12.Facility 1 - Trading'!D229/365)*$D$36</f>
        <v>3.3543041095890412E-3</v>
      </c>
      <c r="F36" s="223">
        <f>('12.Facility 1 - Trading'!E229/365)*$D$36</f>
        <v>3.680235616438357E-3</v>
      </c>
      <c r="G36" s="223">
        <f>('12.Facility 1 - Trading'!F229/365)*$D$36</f>
        <v>3.8642473972602749E-3</v>
      </c>
      <c r="H36" s="223">
        <f>('12.Facility 1 - Trading'!G229/365)*$D$36</f>
        <v>4.0574597671232896E-3</v>
      </c>
      <c r="I36" s="223">
        <f>('12.Facility 1 - Trading'!H229/365)*$D$36</f>
        <v>4.2603327554794537E-3</v>
      </c>
      <c r="J36" s="223">
        <f>('12.Facility 1 - Trading'!I229/365)*$D$36</f>
        <v>4.4733493932534269E-3</v>
      </c>
      <c r="K36" s="223">
        <f>('12.Facility 1 - Trading'!J229/365)*$D$36</f>
        <v>4.697016862916098E-3</v>
      </c>
    </row>
    <row r="37" spans="2:11">
      <c r="B37" s="278">
        <v>4</v>
      </c>
      <c r="C37" s="224" t="s">
        <v>141</v>
      </c>
      <c r="D37" s="236">
        <v>14</v>
      </c>
      <c r="E37" s="223">
        <f>('13.Facility 2 Grain Processing'!D148/365)*$D$37</f>
        <v>9.6988931506849299E-3</v>
      </c>
      <c r="F37" s="223">
        <f>('13.Facility 2 Grain Processing'!E148/365)*$D$37</f>
        <v>1.0366520547945205E-2</v>
      </c>
      <c r="G37" s="223">
        <f>('13.Facility 2 Grain Processing'!F148/365)*$D$37</f>
        <v>1.0884846575342466E-2</v>
      </c>
      <c r="H37" s="223">
        <f>('13.Facility 2 Grain Processing'!G148/365)*$D$37</f>
        <v>1.142908890410959E-2</v>
      </c>
      <c r="I37" s="223">
        <f>('13.Facility 2 Grain Processing'!H148/365)*$D$37</f>
        <v>1.2000543349315069E-2</v>
      </c>
      <c r="J37" s="223">
        <f>('13.Facility 2 Grain Processing'!I148/365)*$D$37</f>
        <v>1.2600570516780825E-2</v>
      </c>
      <c r="K37" s="223">
        <f>('13.Facility 2 Grain Processing'!J148/365)*$D$37</f>
        <v>1.3230599042619869E-2</v>
      </c>
    </row>
    <row r="38" spans="2:11">
      <c r="B38" s="278">
        <v>5</v>
      </c>
      <c r="C38" s="224" t="s">
        <v>304</v>
      </c>
      <c r="D38" s="236">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c r="B39" s="278">
        <v>6</v>
      </c>
      <c r="C39" s="224" t="s">
        <v>546</v>
      </c>
      <c r="D39" s="236">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173</v>
      </c>
      <c r="D41" s="236"/>
      <c r="E41" s="223">
        <f>SUM(E34:E40)</f>
        <v>9138595.9034641553</v>
      </c>
      <c r="F41" s="223">
        <f t="shared" ref="F41:K41" si="8">SUM(F34:F40)</f>
        <v>10553663.140759083</v>
      </c>
      <c r="G41" s="223">
        <f t="shared" si="8"/>
        <v>11597266.458755944</v>
      </c>
      <c r="H41" s="223">
        <f t="shared" si="8"/>
        <v>12718845.95070059</v>
      </c>
      <c r="I41" s="223">
        <f t="shared" si="8"/>
        <v>13923590.225692814</v>
      </c>
      <c r="J41" s="223">
        <f t="shared" si="8"/>
        <v>15217011.813307509</v>
      </c>
      <c r="K41" s="223">
        <f t="shared" si="8"/>
        <v>16604966.584119441</v>
      </c>
    </row>
    <row r="42" spans="2:11">
      <c r="B42" s="221" t="s">
        <v>176</v>
      </c>
      <c r="C42" s="222" t="s">
        <v>353</v>
      </c>
      <c r="D42" s="236"/>
      <c r="E42" s="223">
        <f>'5.Closing Stock &amp; W Capital'!E21</f>
        <v>10719000.009327592</v>
      </c>
      <c r="F42" s="223">
        <f>'5.Closing Stock &amp; W Capital'!F21</f>
        <v>11817697.509793971</v>
      </c>
      <c r="G42" s="223">
        <f>'5.Closing Stock &amp; W Capital'!G21</f>
        <v>12999467.260283669</v>
      </c>
      <c r="H42" s="223">
        <f>'5.Closing Stock &amp; W Capital'!H21</f>
        <v>14269869.742047856</v>
      </c>
      <c r="I42" s="223">
        <f>'5.Closing Stock &amp; W Capital'!I21</f>
        <v>15634813.803837746</v>
      </c>
      <c r="J42" s="223">
        <f>'5.Closing Stock &amp; W Capital'!J21</f>
        <v>17100577.597451515</v>
      </c>
      <c r="K42" s="223">
        <f>'5.Closing Stock &amp; W Capital'!K21</f>
        <v>18673830.735917058</v>
      </c>
    </row>
    <row r="43" spans="2:11">
      <c r="B43" s="221"/>
      <c r="C43" s="224"/>
      <c r="D43" s="236"/>
      <c r="E43" s="223"/>
      <c r="F43" s="223"/>
      <c r="G43" s="223"/>
      <c r="H43" s="223"/>
      <c r="I43" s="223"/>
      <c r="J43" s="223"/>
      <c r="K43" s="223"/>
    </row>
    <row r="44" spans="2:11">
      <c r="B44" s="452" t="s">
        <v>1</v>
      </c>
      <c r="C44" s="453"/>
      <c r="D44" s="248"/>
      <c r="E44" s="225">
        <f>SUM(E41:E42)</f>
        <v>19857595.912791748</v>
      </c>
      <c r="F44" s="225">
        <f t="shared" ref="F44:K44" si="9">SUM(F41:F42)</f>
        <v>22371360.650553055</v>
      </c>
      <c r="G44" s="225">
        <f t="shared" si="9"/>
        <v>24596733.719039612</v>
      </c>
      <c r="H44" s="225">
        <f t="shared" si="9"/>
        <v>26988715.692748446</v>
      </c>
      <c r="I44" s="225">
        <f t="shared" si="9"/>
        <v>29558404.029530562</v>
      </c>
      <c r="J44" s="225">
        <f t="shared" si="9"/>
        <v>32317589.410759024</v>
      </c>
      <c r="K44" s="225">
        <f t="shared" si="9"/>
        <v>35278797.320036501</v>
      </c>
    </row>
    <row r="45" spans="2:11">
      <c r="B45" s="221"/>
      <c r="C45" s="222"/>
      <c r="D45" s="236"/>
      <c r="E45" s="223"/>
      <c r="F45" s="223"/>
      <c r="G45" s="223"/>
      <c r="H45" s="223"/>
      <c r="I45" s="223"/>
      <c r="J45" s="223"/>
      <c r="K45" s="223"/>
    </row>
    <row r="46" spans="2:11" ht="34.5" customHeight="1">
      <c r="B46" s="221" t="s">
        <v>177</v>
      </c>
      <c r="C46" s="224" t="s">
        <v>355</v>
      </c>
      <c r="D46" s="236"/>
      <c r="E46" s="223"/>
      <c r="F46" s="223"/>
      <c r="G46" s="223"/>
      <c r="H46" s="223"/>
      <c r="I46" s="223"/>
      <c r="J46" s="223"/>
      <c r="K46" s="223"/>
    </row>
    <row r="47" spans="2:11">
      <c r="B47" s="278">
        <v>1</v>
      </c>
      <c r="C47" s="224" t="str">
        <f t="shared" ref="C47:C52" si="10">C34</f>
        <v>Agri Input</v>
      </c>
      <c r="D47" s="236">
        <v>7</v>
      </c>
      <c r="E47" s="223">
        <f>('16.Facility 5 Agri Input'!D262/365)*$D$47</f>
        <v>4347461.4246575348</v>
      </c>
      <c r="F47" s="223">
        <f>('16.Facility 5 Agri Input'!E262/365)*$D$47</f>
        <v>4998646.0836986303</v>
      </c>
      <c r="G47" s="223">
        <f>('16.Facility 5 Agri Input'!F262/365)*$D$47</f>
        <v>5499024.6167260269</v>
      </c>
      <c r="H47" s="223">
        <f>('16.Facility 5 Agri Input'!G262/365)*$D$47</f>
        <v>6036944.3878469188</v>
      </c>
      <c r="I47" s="223">
        <f>('16.Facility 5 Agri Input'!H262/365)*$D$47</f>
        <v>6614908.5745380828</v>
      </c>
      <c r="J47" s="223">
        <f>('16.Facility 5 Agri Input'!I262/365)*$D$47</f>
        <v>7235576.8189287493</v>
      </c>
      <c r="K47" s="223">
        <f>('16.Facility 5 Agri Input'!J262/365)*$D$47</f>
        <v>7901774.6163221318</v>
      </c>
    </row>
    <row r="48" spans="2:11">
      <c r="B48" s="278">
        <v>2</v>
      </c>
      <c r="C48" s="224" t="str">
        <f t="shared" si="10"/>
        <v>Custom Hiring</v>
      </c>
      <c r="D48" s="236">
        <v>7</v>
      </c>
      <c r="E48" s="223">
        <f>('15. Facility 4 Custom Hiring'!E49/365)*$D$49</f>
        <v>35199.452054794521</v>
      </c>
      <c r="F48" s="223">
        <f>('15. Facility 4 Custom Hiring'!F49/365)*$D$49</f>
        <v>36959.424657534248</v>
      </c>
      <c r="G48" s="223">
        <f>('15. Facility 4 Custom Hiring'!G49/365)*$D$49</f>
        <v>38807.39589041096</v>
      </c>
      <c r="H48" s="223">
        <f>('15. Facility 4 Custom Hiring'!H49/365)*$D$49</f>
        <v>40747.76568493151</v>
      </c>
      <c r="I48" s="223">
        <f>('15. Facility 4 Custom Hiring'!I49/365)*$D$49</f>
        <v>42785.153969178093</v>
      </c>
      <c r="J48" s="223">
        <f>('15. Facility 4 Custom Hiring'!J49/365)*$D$49</f>
        <v>44924.411667636996</v>
      </c>
      <c r="K48" s="223">
        <f>('15. Facility 4 Custom Hiring'!K49/365)*$D$49</f>
        <v>47170.632251018855</v>
      </c>
    </row>
    <row r="49" spans="1:12">
      <c r="B49" s="278">
        <v>3</v>
      </c>
      <c r="C49" s="224" t="str">
        <f t="shared" si="10"/>
        <v>Cleaning &amp; Grading</v>
      </c>
      <c r="D49" s="236">
        <v>7</v>
      </c>
      <c r="E49" s="223">
        <f>('12.Facility 1 - Trading'!D292/365)*$D$49</f>
        <v>1.7830559465753426E-3</v>
      </c>
      <c r="F49" s="223">
        <f>('12.Facility 1 - Trading'!E292/365)*$D$49</f>
        <v>1.9585284959589043E-3</v>
      </c>
      <c r="G49" s="223">
        <f>('12.Facility 1 - Trading'!F292/365)*$D$49</f>
        <v>2.0564549207568493E-3</v>
      </c>
      <c r="H49" s="223">
        <f>('12.Facility 1 - Trading'!G292/365)*$D$49</f>
        <v>2.1592776667946926E-3</v>
      </c>
      <c r="I49" s="223">
        <f>('12.Facility 1 - Trading'!H292/365)*$D$49</f>
        <v>2.2672415501344269E-3</v>
      </c>
      <c r="J49" s="223">
        <f>('12.Facility 1 - Trading'!I292/365)*$D$49</f>
        <v>2.3806036276411485E-3</v>
      </c>
      <c r="K49" s="223">
        <f>('12.Facility 1 - Trading'!J292/365)*$D$49</f>
        <v>2.4996338090232059E-3</v>
      </c>
    </row>
    <row r="50" spans="1:12">
      <c r="B50" s="278">
        <v>4</v>
      </c>
      <c r="C50" s="224" t="str">
        <f t="shared" si="10"/>
        <v>Dal Mill</v>
      </c>
      <c r="D50" s="236">
        <v>7</v>
      </c>
      <c r="E50" s="223">
        <f>('13.Facility 2 Grain Processing'!D169/365)*$D$50</f>
        <v>1.8084551301369865E-3</v>
      </c>
      <c r="F50" s="223">
        <f>('13.Facility 2 Grain Processing'!E169/365)*$D$50</f>
        <v>1.9914434414383566E-3</v>
      </c>
      <c r="G50" s="223">
        <f>('13.Facility 2 Grain Processing'!F169/365)*$D$50</f>
        <v>2.0910156135102746E-3</v>
      </c>
      <c r="H50" s="223">
        <f>('13.Facility 2 Grain Processing'!G169/365)*$D$50</f>
        <v>2.1955663941857877E-3</v>
      </c>
      <c r="I50" s="223">
        <f>('13.Facility 2 Grain Processing'!H169/365)*$D$50</f>
        <v>2.3053447138950776E-3</v>
      </c>
      <c r="J50" s="223">
        <f>('13.Facility 2 Grain Processing'!I169/365)*$D$50</f>
        <v>2.4206119495898317E-3</v>
      </c>
      <c r="K50" s="223">
        <f>('13.Facility 2 Grain Processing'!J169/365)*$D$50</f>
        <v>2.5416425470693241E-3</v>
      </c>
    </row>
    <row r="51" spans="1:12">
      <c r="B51" s="278">
        <v>5</v>
      </c>
      <c r="C51" s="224" t="str">
        <f t="shared" si="10"/>
        <v>Warehouse</v>
      </c>
      <c r="D51" s="236">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c r="B52" s="278"/>
      <c r="C52" s="224" t="str">
        <f t="shared" si="10"/>
        <v>Processing Unit - Horti Commodity</v>
      </c>
      <c r="D52" s="236">
        <v>7</v>
      </c>
      <c r="E52" s="223">
        <f>('17.Facility 6 Horti Processing '!D177/365)*$D$52</f>
        <v>-9.2565554794520565E-5</v>
      </c>
      <c r="F52" s="223">
        <f>('17.Facility 6 Horti Processing '!E177/365)*$D$52</f>
        <v>-4.6282777397260377E-6</v>
      </c>
      <c r="G52" s="223">
        <f>('17.Facility 6 Horti Processing '!F177/365)*$D$52</f>
        <v>-4.8596916267123261E-6</v>
      </c>
      <c r="H52" s="223">
        <f>('17.Facility 6 Horti Processing '!G177/365)*$D$52</f>
        <v>-5.1026762080479382E-6</v>
      </c>
      <c r="I52" s="223">
        <f>('17.Facility 6 Horti Processing '!H177/365)*$D$52</f>
        <v>-5.3578100184503787E-6</v>
      </c>
      <c r="J52" s="223">
        <f>('17.Facility 6 Horti Processing '!I177/365)*$D$52</f>
        <v>-5.625700519372875E-6</v>
      </c>
      <c r="K52" s="223">
        <f>('17.Facility 6 Horti Processing '!J177/365)*$D$52</f>
        <v>-5.90698554534151E-6</v>
      </c>
    </row>
    <row r="53" spans="1:12">
      <c r="B53" s="278"/>
      <c r="C53" s="224"/>
      <c r="D53" s="236"/>
      <c r="E53" s="223"/>
      <c r="F53" s="223"/>
      <c r="G53" s="223"/>
      <c r="H53" s="223"/>
      <c r="I53" s="223"/>
      <c r="J53" s="223"/>
      <c r="K53" s="223"/>
    </row>
    <row r="54" spans="1:12">
      <c r="B54" s="216"/>
      <c r="C54" s="222" t="s">
        <v>1</v>
      </c>
      <c r="D54" s="236"/>
      <c r="E54" s="225">
        <f>SUM(E47:E53)</f>
        <v>4382660.8802112751</v>
      </c>
      <c r="F54" s="225">
        <f t="shared" ref="F54:K54" si="11">SUM(F47:F53)</f>
        <v>5035605.5123015074</v>
      </c>
      <c r="G54" s="225">
        <f t="shared" si="11"/>
        <v>5537832.0167590491</v>
      </c>
      <c r="H54" s="225">
        <f t="shared" si="11"/>
        <v>6077692.1578815915</v>
      </c>
      <c r="I54" s="225">
        <f t="shared" si="11"/>
        <v>6657693.733074489</v>
      </c>
      <c r="J54" s="225">
        <f t="shared" si="11"/>
        <v>7280501.2353919754</v>
      </c>
      <c r="K54" s="225">
        <f t="shared" si="11"/>
        <v>7948945.2536085192</v>
      </c>
    </row>
    <row r="55" spans="1:12">
      <c r="B55" s="221" t="s">
        <v>178</v>
      </c>
      <c r="C55" s="222" t="s">
        <v>158</v>
      </c>
      <c r="D55" s="236"/>
      <c r="E55" s="225">
        <f>E44-E54</f>
        <v>15474935.032580473</v>
      </c>
      <c r="F55" s="225">
        <f t="shared" ref="F55:K55" si="12">F44-F54</f>
        <v>17335755.138251547</v>
      </c>
      <c r="G55" s="225">
        <f t="shared" si="12"/>
        <v>19058901.702280562</v>
      </c>
      <c r="H55" s="225">
        <f t="shared" si="12"/>
        <v>20911023.534866855</v>
      </c>
      <c r="I55" s="225">
        <f t="shared" si="12"/>
        <v>22900710.296456072</v>
      </c>
      <c r="J55" s="225">
        <f t="shared" si="12"/>
        <v>25037088.17536705</v>
      </c>
      <c r="K55" s="225">
        <f t="shared" si="12"/>
        <v>27329852.066427983</v>
      </c>
    </row>
    <row r="56" spans="1:12">
      <c r="B56" s="221"/>
      <c r="C56" s="222" t="s">
        <v>135</v>
      </c>
      <c r="D56" s="287">
        <v>0.25</v>
      </c>
      <c r="E56" s="225">
        <f>E55*$D$56</f>
        <v>3868733.7581451181</v>
      </c>
      <c r="F56" s="225"/>
      <c r="G56" s="225"/>
      <c r="H56" s="225"/>
      <c r="I56" s="225"/>
      <c r="J56" s="225"/>
      <c r="K56" s="225"/>
    </row>
    <row r="58" spans="1:12">
      <c r="E58" s="29"/>
    </row>
    <row r="59" spans="1:12" ht="37" customHeight="1">
      <c r="A59" s="449" t="s">
        <v>425</v>
      </c>
      <c r="B59" s="450"/>
      <c r="C59" s="450"/>
      <c r="D59" s="450"/>
      <c r="E59" s="450"/>
      <c r="F59" s="450"/>
      <c r="G59" s="450"/>
      <c r="H59" s="450"/>
      <c r="I59" s="450"/>
      <c r="J59" s="450"/>
      <c r="K59" s="450"/>
      <c r="L59" s="450"/>
    </row>
    <row r="60" spans="1:12">
      <c r="A60" t="s">
        <v>555</v>
      </c>
    </row>
    <row r="61" spans="1:12">
      <c r="A61">
        <v>1</v>
      </c>
      <c r="B61" t="s">
        <v>556</v>
      </c>
    </row>
    <row r="62" spans="1:12">
      <c r="A62">
        <v>2</v>
      </c>
      <c r="B62" t="s">
        <v>557</v>
      </c>
    </row>
    <row r="63" spans="1:12">
      <c r="A63">
        <v>3</v>
      </c>
      <c r="B63" t="s">
        <v>558</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35"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10.Grain Production details</vt:lpstr>
      <vt:lpstr>16.Facility 5 Agri Input</vt:lpstr>
      <vt:lpstr>9. Financial indiacators</vt:lpstr>
      <vt:lpstr>15. Facility 4 Custom Hiring</vt:lpstr>
      <vt:lpstr>5.Closing Stock &amp; W Capital</vt:lpstr>
      <vt:lpstr>6.Cons Profit &amp; Loss</vt:lpstr>
      <vt:lpstr>7.Balance Sheet</vt:lpstr>
      <vt:lpstr>8.Cash Flow </vt:lpstr>
      <vt:lpstr>4.TL repayment sch</vt:lpstr>
      <vt:lpstr>14. Facility 3 Warehouse</vt:lpstr>
      <vt:lpstr>11.F&amp;V Crop Production details</vt:lpstr>
      <vt:lpstr>12.Facility 1 - Trading</vt:lpstr>
      <vt:lpstr>13.Facility 2 Grain Processing</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2022-08-03T04:01:31Z</dcterms:modified>
</cp:coreProperties>
</file>